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Fijos'!$A$1:$W$112</definedName>
    <definedName name="_xlnm.Print_Area" localSheetId="1">'Act. 2 Nomina Fijos'!$A$1:$W$65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<sst xmlns="http://schemas.openxmlformats.org/spreadsheetml/2006/main" count="736" uniqueCount="264">
  <si>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</si>
  <si>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</si>
  <si>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</si>
  <si>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</si>
  <si>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</si>
  <si>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</si>
  <si>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</si>
  <si>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</si>
  <si>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</si>
  <si>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</si>
  <si>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</si>
  <si>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</si>
  <si>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</si>
  <si>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</si>
  <si>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</si>
  <si>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</si>
  <si>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</si>
  <si>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</si>
  <si>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</si>
  <si>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</si>
  <si>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</si>
  <si>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</si>
  <si>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</si>
  <si>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</si>
  <si>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</si>
  <si>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</si>
  <si>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</si>
  <si>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</si>
  <si>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</si>
  <si>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</si>
  <si>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</si>
  <si>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</si>
  <si>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</si>
  <si>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</si>
  <si>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</si>
  <si>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</si>
  <si>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</si>
  <si>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</si>
  <si>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</si>
  <si>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</si>
  <si>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</si>
  <si>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</si>
  <si>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</si>
  <si>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</si>
  <si>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</si>
  <si>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</si>
  <si>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</si>
  <si>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</si>
  <si>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</si>
  <si>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</si>
  <si>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</si>
  <si>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</si>
  <si>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</si>
  <si>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</si>
  <si>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</si>
  <si>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</si>
  <si>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</si>
  <si>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</si>
  <si>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</si>
  <si>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</si>
  <si>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</si>
  <si>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</si>
  <si>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</si>
  <si>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</si>
  <si>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</si>
  <si>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</si>
  <si>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</si>
  <si>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</si>
  <si>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</si>
  <si>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</si>
  <si>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</si>
  <si>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</si>
  <si>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</si>
  <si>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</si>
  <si>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GUILLERMINA DIAZ</t>
  </si>
  <si>
    <t>DIMAS JORGE LUIS ENCARNACION PUJOLS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</si>
  <si>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</si>
  <si>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</si>
  <si>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</si>
  <si>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</si>
  <si>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</si>
  <si>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ENCARGADO DE MEDIOS SOCIALES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</si>
  <si>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</si>
  <si>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</si>
  <si>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</si>
  <si>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</si>
  <si>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</si>
  <si>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</si>
  <si>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</si>
  <si>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</si>
  <si>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</si>
  <si>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</si>
  <si>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</si>
  <si>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</si>
  <si>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</si>
  <si>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</si>
  <si>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</si>
  <si>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</si>
  <si>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</si>
  <si>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</si>
  <si>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</si>
  <si>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</si>
  <si>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</si>
  <si>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</si>
  <si>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</si>
  <si>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</si>
  <si>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</si>
  <si>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</si>
  <si>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</si>
  <si>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</si>
  <si>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</si>
  <si>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</si>
  <si>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</si>
  <si>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</si>
  <si>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</si>
  <si>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</si>
  <si>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</si>
  <si>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</si>
  <si>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</si>
  <si>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</si>
  <si>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</si>
  <si>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</si>
  <si>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</si>
  <si>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</si>
  <si>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</si>
  <si>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</si>
  <si>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</si>
  <si>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</si>
  <si>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</si>
  <si>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</si>
  <si>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</si>
  <si>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</si>
  <si>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</si>
  <si>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</si>
  <si>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</si>
  <si>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</si>
  <si>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</si>
  <si>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</si>
  <si>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</si>
  <si>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</si>
  <si>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</si>
  <si>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</si>
  <si>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</si>
  <si>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</si>
  <si>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</si>
  <si>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</si>
  <si>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</si>
  <si>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</si>
  <si>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</si>
  <si>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</si>
  <si>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</si>
  <si>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</si>
  <si>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</si>
  <si>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</si>
  <si>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</si>
  <si>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</si>
  <si>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</si>
  <si>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</si>
  <si>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</si>
  <si>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</si>
  <si>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</si>
  <si>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</si>
  <si>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</si>
  <si>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</si>
  <si>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</si>
  <si>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</si>
  <si>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</si>
  <si>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</si>
  <si>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</si>
  <si>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</si>
  <si>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</si>
  <si>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</si>
  <si>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</si>
  <si>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</si>
  <si>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</si>
  <si>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</si>
  <si>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</si>
  <si>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</si>
  <si>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</si>
  <si>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</si>
  <si>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</si>
  <si>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</si>
  <si>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</si>
  <si>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</si>
  <si>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</si>
  <si>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</si>
  <si>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</si>
  <si>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</si>
  <si>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</si>
  <si>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</si>
  <si>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</si>
  <si>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</si>
  <si>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</si>
  <si>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</si>
  <si>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</si>
  <si>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</si>
  <si>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</si>
  <si>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</si>
  <si>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</si>
  <si>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</si>
  <si>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</si>
  <si>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</si>
  <si>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</si>
  <si>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</si>
  <si>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</si>
  <si>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</si>
  <si>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</si>
  <si>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</si>
  <si>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</si>
  <si>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</si>
  <si>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</si>
  <si>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</si>
  <si>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</si>
  <si>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</si>
  <si>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</si>
  <si>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</si>
  <si>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</si>
  <si>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</si>
  <si>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</si>
  <si>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JULIO GUSTAVO EMILIO GONELL MORREL</t>
  </si>
  <si>
    <t>JOSE DANIEL ORTIZ MARTINEZ</t>
  </si>
  <si>
    <t>SUPERVISOR DE EVENTOS</t>
  </si>
  <si>
    <t>DAYSI JOSIHANNY ORTIZ RODRIGUEZ</t>
  </si>
  <si>
    <t>FEMENINO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</si>
  <si>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</si>
  <si>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</si>
  <si>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</si>
  <si>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</si>
  <si>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</si>
  <si>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</si>
  <si>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</si>
  <si>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</si>
  <si>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</si>
  <si>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</si>
  <si>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</si>
  <si>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</si>
  <si>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</si>
  <si>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</si>
  <si>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</si>
  <si>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</si>
  <si>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</si>
  <si>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</si>
  <si>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</si>
  <si>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</si>
  <si>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</si>
  <si>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</si>
  <si>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 xml:space="preserve">TOTAL GENERAL: </t>
  </si>
  <si>
    <t>NOEL GUERRERO MARTINEZ</t>
  </si>
  <si>
    <t>RUTH ESTHER SOLANO SOLANO</t>
  </si>
  <si>
    <t>ALEXANDRA BAEZ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</si>
  <si>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</si>
  <si>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</si>
  <si>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</si>
  <si>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</si>
  <si>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</si>
  <si>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</si>
  <si>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</si>
  <si>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PAGO SUELDO 000001  PERSONAL FIJO CORRESPONIENTE AL MES DE MAYO 2022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</si>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</sst>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b/>
      <sz val="18"/>
      <color indexed="10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8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7" fontId="9" fillId="0" borderId="10" xfId="0" applyNumberFormat="1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/>
    </xf>
    <xf numFmtId="177" fontId="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9" fillId="0" borderId="1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177" fontId="70" fillId="0" borderId="10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vertical="center" wrapText="1"/>
    </xf>
    <xf numFmtId="177" fontId="69" fillId="0" borderId="14" xfId="49" applyNumberFormat="1" applyFont="1" applyFill="1" applyBorder="1" applyAlignment="1">
      <alignment horizontal="right" vertical="center"/>
    </xf>
    <xf numFmtId="177" fontId="69" fillId="0" borderId="14" xfId="0" applyNumberFormat="1" applyFont="1" applyFill="1" applyBorder="1" applyAlignment="1">
      <alignment horizontal="right" vertical="center"/>
    </xf>
    <xf numFmtId="3" fontId="69" fillId="0" borderId="15" xfId="0" applyNumberFormat="1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vertical="center"/>
    </xf>
    <xf numFmtId="177" fontId="70" fillId="0" borderId="0" xfId="49" applyFont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34" borderId="17" xfId="0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right" vertical="center"/>
    </xf>
    <xf numFmtId="177" fontId="72" fillId="34" borderId="18" xfId="49" applyNumberFormat="1" applyFont="1" applyFill="1" applyBorder="1" applyAlignment="1">
      <alignment horizontal="right" vertical="center"/>
    </xf>
    <xf numFmtId="3" fontId="69" fillId="34" borderId="19" xfId="0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center" vertical="center"/>
    </xf>
    <xf numFmtId="177" fontId="72" fillId="34" borderId="18" xfId="49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14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left" vertical="center" wrapText="1"/>
    </xf>
    <xf numFmtId="177" fontId="9" fillId="0" borderId="21" xfId="0" applyNumberFormat="1" applyFont="1" applyFill="1" applyBorder="1" applyAlignment="1">
      <alignment vertical="center" wrapText="1"/>
    </xf>
    <xf numFmtId="177" fontId="69" fillId="0" borderId="21" xfId="49" applyNumberFormat="1" applyFont="1" applyFill="1" applyBorder="1" applyAlignment="1">
      <alignment horizontal="right" vertical="center"/>
    </xf>
    <xf numFmtId="177" fontId="69" fillId="0" borderId="21" xfId="0" applyNumberFormat="1" applyFont="1" applyFill="1" applyBorder="1" applyAlignment="1">
      <alignment horizontal="right" vertical="center"/>
    </xf>
    <xf numFmtId="3" fontId="69" fillId="0" borderId="22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3" fontId="14" fillId="0" borderId="0" xfId="0" applyNumberFormat="1" applyFont="1" applyFill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74" fillId="35" borderId="10" xfId="49" applyFont="1" applyFill="1" applyBorder="1" applyAlignment="1">
      <alignment vertical="center"/>
    </xf>
    <xf numFmtId="177" fontId="8" fillId="0" borderId="0" xfId="49" applyFont="1" applyAlignment="1">
      <alignment horizontal="center" vertical="center"/>
    </xf>
    <xf numFmtId="177" fontId="8" fillId="36" borderId="10" xfId="49" applyFont="1" applyFill="1" applyBorder="1" applyAlignment="1">
      <alignment horizontal="center" vertical="center"/>
    </xf>
    <xf numFmtId="177" fontId="9" fillId="0" borderId="0" xfId="49" applyFont="1" applyBorder="1" applyAlignment="1">
      <alignment vertical="center"/>
    </xf>
    <xf numFmtId="177" fontId="69" fillId="0" borderId="0" xfId="49" applyFont="1" applyBorder="1" applyAlignment="1">
      <alignment vertical="center"/>
    </xf>
    <xf numFmtId="177" fontId="9" fillId="0" borderId="0" xfId="49" applyFont="1" applyAlignment="1">
      <alignment vertical="center"/>
    </xf>
    <xf numFmtId="177" fontId="44" fillId="0" borderId="10" xfId="49" applyFont="1" applyBorder="1" applyAlignment="1">
      <alignment vertical="center"/>
    </xf>
    <xf numFmtId="177" fontId="9" fillId="0" borderId="10" xfId="49" applyFont="1" applyBorder="1" applyAlignment="1">
      <alignment vertical="center"/>
    </xf>
    <xf numFmtId="177" fontId="18" fillId="0" borderId="0" xfId="49" applyFont="1" applyAlignment="1">
      <alignment vertical="center"/>
    </xf>
    <xf numFmtId="177" fontId="18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7" fillId="0" borderId="0" xfId="49" applyFont="1" applyBorder="1" applyAlignment="1">
      <alignment vertical="center"/>
    </xf>
    <xf numFmtId="177" fontId="9" fillId="0" borderId="23" xfId="0" applyNumberFormat="1" applyFont="1" applyFill="1" applyBorder="1" applyAlignment="1">
      <alignment vertical="center" wrapText="1"/>
    </xf>
    <xf numFmtId="177" fontId="2" fillId="0" borderId="0" xfId="49" applyFont="1" applyBorder="1" applyAlignment="1">
      <alignment vertical="center"/>
    </xf>
    <xf numFmtId="0" fontId="6" fillId="0" borderId="24" xfId="49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177" fontId="16" fillId="0" borderId="10" xfId="49" applyFont="1" applyBorder="1" applyAlignment="1">
      <alignment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6" fillId="34" borderId="33" xfId="0" applyFont="1" applyFill="1" applyBorder="1" applyAlignment="1">
      <alignment horizontal="center" vertical="center" wrapText="1"/>
    </xf>
    <xf numFmtId="0" fontId="76" fillId="34" borderId="31" xfId="0" applyFont="1" applyFill="1" applyBorder="1" applyAlignment="1">
      <alignment horizontal="center" vertical="center" wrapText="1"/>
    </xf>
    <xf numFmtId="0" fontId="76" fillId="34" borderId="32" xfId="0" applyFont="1" applyFill="1" applyBorder="1" applyAlignment="1">
      <alignment horizontal="center" vertical="center" wrapText="1"/>
    </xf>
    <xf numFmtId="177" fontId="2" fillId="34" borderId="33" xfId="0" applyNumberFormat="1" applyFont="1" applyFill="1" applyBorder="1" applyAlignment="1">
      <alignment horizontal="center" vertical="center" wrapText="1"/>
    </xf>
    <xf numFmtId="177" fontId="2" fillId="34" borderId="31" xfId="0" applyNumberFormat="1" applyFont="1" applyFill="1" applyBorder="1" applyAlignment="1">
      <alignment horizontal="center" vertical="center" wrapText="1"/>
    </xf>
    <xf numFmtId="177" fontId="2" fillId="34" borderId="32" xfId="0" applyNumberFormat="1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49" fontId="2" fillId="34" borderId="33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177" fontId="17" fillId="36" borderId="10" xfId="49" applyFont="1" applyFill="1" applyBorder="1" applyAlignment="1">
      <alignment horizontal="center" vertical="center"/>
    </xf>
    <xf numFmtId="177" fontId="16" fillId="0" borderId="10" xfId="49" applyFont="1" applyBorder="1" applyAlignment="1">
      <alignment horizontal="left" vertical="center"/>
    </xf>
    <xf numFmtId="177" fontId="8" fillId="37" borderId="39" xfId="49" applyFont="1" applyFill="1" applyBorder="1" applyAlignment="1">
      <alignment horizontal="center" vertical="center"/>
    </xf>
    <xf numFmtId="177" fontId="8" fillId="37" borderId="10" xfId="49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177" fontId="8" fillId="34" borderId="42" xfId="0" applyNumberFormat="1" applyFont="1" applyFill="1" applyBorder="1" applyAlignment="1">
      <alignment horizontal="center" vertical="center"/>
    </xf>
    <xf numFmtId="177" fontId="8" fillId="34" borderId="37" xfId="0" applyNumberFormat="1" applyFont="1" applyFill="1" applyBorder="1" applyAlignment="1">
      <alignment horizontal="center" vertical="center"/>
    </xf>
    <xf numFmtId="177" fontId="8" fillId="34" borderId="43" xfId="0" applyNumberFormat="1" applyFont="1" applyFill="1" applyBorder="1" applyAlignment="1">
      <alignment horizontal="center" vertical="center"/>
    </xf>
    <xf numFmtId="177" fontId="76" fillId="34" borderId="33" xfId="0" applyNumberFormat="1" applyFont="1" applyFill="1" applyBorder="1" applyAlignment="1">
      <alignment horizontal="center" vertical="center" wrapText="1"/>
    </xf>
    <xf numFmtId="177" fontId="76" fillId="34" borderId="31" xfId="0" applyNumberFormat="1" applyFont="1" applyFill="1" applyBorder="1" applyAlignment="1">
      <alignment horizontal="center" vertical="center" wrapText="1"/>
    </xf>
    <xf numFmtId="177" fontId="76" fillId="34" borderId="32" xfId="0" applyNumberFormat="1" applyFont="1" applyFill="1" applyBorder="1" applyAlignment="1">
      <alignment horizontal="center" vertical="center" wrapText="1"/>
    </xf>
    <xf numFmtId="177" fontId="16" fillId="0" borderId="44" xfId="49" applyFont="1" applyBorder="1" applyAlignment="1">
      <alignment horizontal="left" vertical="center"/>
    </xf>
    <xf numFmtId="177" fontId="16" fillId="0" borderId="45" xfId="49" applyFont="1" applyBorder="1" applyAlignment="1">
      <alignment horizontal="left" vertical="center"/>
    </xf>
    <xf numFmtId="0" fontId="7" fillId="0" borderId="0" xfId="0" applyFont="1" applyFill="1" applyAlignment="1">
      <alignment horizontal="justify" wrapText="1"/>
    </xf>
    <xf numFmtId="177" fontId="7" fillId="0" borderId="10" xfId="49" applyFont="1" applyBorder="1" applyAlignment="1">
      <alignment horizontal="left" vertical="center"/>
    </xf>
    <xf numFmtId="177" fontId="77" fillId="38" borderId="10" xfId="49" applyFont="1" applyFill="1" applyBorder="1" applyAlignment="1">
      <alignment horizontal="center" vertical="center"/>
    </xf>
    <xf numFmtId="177" fontId="6" fillId="0" borderId="36" xfId="49" applyFont="1" applyBorder="1" applyAlignment="1">
      <alignment horizontal="center" vertical="center"/>
    </xf>
    <xf numFmtId="177" fontId="6" fillId="0" borderId="37" xfId="49" applyFont="1" applyBorder="1" applyAlignment="1">
      <alignment horizontal="center" vertical="center"/>
    </xf>
    <xf numFmtId="177" fontId="6" fillId="7" borderId="10" xfId="49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 wrapText="1"/>
    </xf>
    <xf numFmtId="177" fontId="15" fillId="0" borderId="10" xfId="49" applyFont="1" applyBorder="1" applyAlignment="1">
      <alignment horizontal="left" vertical="center"/>
    </xf>
    <xf numFmtId="177" fontId="13" fillId="7" borderId="10" xfId="49" applyFont="1" applyFill="1" applyBorder="1" applyAlignment="1">
      <alignment horizontal="left" vertical="center"/>
    </xf>
    <xf numFmtId="177" fontId="46" fillId="0" borderId="10" xfId="49" applyFont="1" applyBorder="1" applyAlignment="1">
      <alignment horizontal="left" vertical="center"/>
    </xf>
    <xf numFmtId="0" fontId="12" fillId="38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zoomScale="70" zoomScaleNormal="70" zoomScaleSheetLayoutView="69" zoomScalePageLayoutView="14" workbookViewId="0" topLeftCell="E31">
      <selection activeCell="H34" sqref="H34"/>
    </sheetView>
  </sheetViews>
  <sheetFormatPr defaultColWidth="9.140625" defaultRowHeight="12.75"/>
  <cols>
    <col min="1" max="1" width="9.28125" style="11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37" customWidth="1"/>
    <col min="9" max="9" width="16.00390625" style="33" customWidth="1"/>
    <col min="10" max="10" width="16.00390625" style="59" customWidth="1"/>
    <col min="11" max="17" width="16.00390625" style="6" customWidth="1"/>
    <col min="18" max="18" width="16.00390625" style="29" customWidth="1"/>
    <col min="19" max="19" width="16.00390625" style="2" customWidth="1"/>
    <col min="20" max="20" width="16.00390625" style="29" customWidth="1"/>
    <col min="21" max="21" width="16.00390625" style="2" customWidth="1"/>
    <col min="22" max="22" width="19.421875" style="2" bestFit="1" customWidth="1"/>
    <col min="23" max="23" width="14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9" customFormat="1" ht="117" customHeight="1">
      <c r="A1" s="20"/>
      <c r="B1" s="34"/>
      <c r="C1" s="20"/>
      <c r="D1" s="20"/>
      <c r="E1" s="20"/>
      <c r="F1" s="20"/>
      <c r="G1" s="21"/>
      <c r="H1" s="36"/>
      <c r="I1" s="32"/>
      <c r="J1" s="57"/>
      <c r="K1" s="22"/>
      <c r="L1" s="22"/>
      <c r="M1" s="22"/>
      <c r="N1" s="31"/>
      <c r="R1" s="28"/>
      <c r="S1" s="22"/>
      <c r="T1" s="28"/>
      <c r="U1" s="22"/>
      <c r="V1" s="22"/>
      <c r="W1" s="22"/>
      <c r="X1" s="19"/>
      <c r="Y1" s="19"/>
      <c r="Z1" s="19"/>
      <c r="AA1" s="19"/>
      <c r="AB1" s="19"/>
      <c r="AC1" s="19"/>
      <c r="AD1" s="19"/>
      <c r="AE1" s="1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9" customFormat="1" ht="27.75" customHeight="1">
      <c r="A2" s="130" t="s">
        <v>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0"/>
      <c r="AK2" s="30"/>
      <c r="AL2" s="30"/>
      <c r="AM2" s="30"/>
      <c r="AN2" s="30"/>
      <c r="AO2" s="30"/>
      <c r="AP2" s="30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8" ht="21" customHeight="1">
      <c r="A3" s="116" t="s">
        <v>132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64"/>
      <c r="Y3" s="64"/>
      <c r="Z3" s="64"/>
      <c r="AA3" s="62"/>
      <c r="AB3" s="62"/>
    </row>
    <row r="4" spans="1:28" ht="17.25" customHeight="1">
      <c r="A4" s="116" t="s">
        <v>257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64"/>
      <c r="Y4" s="64"/>
      <c r="Z4" s="64"/>
      <c r="AA4" s="62"/>
      <c r="AB4" s="62"/>
    </row>
    <row r="5" spans="1:28" ht="15" thickBot="1">
      <c r="A5" s="117" t="s">
        <v>133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63"/>
      <c r="Y5" s="63"/>
      <c r="Z5" s="63"/>
      <c r="AA5" s="62"/>
      <c r="AB5" s="62"/>
    </row>
    <row r="6" spans="1:53" s="3" customFormat="1" ht="41.25" customHeight="1" thickBot="1">
      <c r="A6" s="140" t="s">
        <v>150</v>
      </c>
      <c r="B6" s="143" t="s">
        <v>151</v>
      </c>
      <c r="C6" s="143" t="s">
        <v>152</v>
      </c>
      <c r="D6" s="143" t="s">
        <v>165</v>
      </c>
      <c r="E6" s="143" t="s">
        <v>169</v>
      </c>
      <c r="F6" s="143" t="s">
        <v>170</v>
      </c>
      <c r="G6" s="127" t="s">
        <v>173</v>
      </c>
      <c r="H6" s="131" t="s">
        <v>174</v>
      </c>
      <c r="I6" s="134" t="s">
        <v>175</v>
      </c>
      <c r="J6" s="159" t="s">
        <v>87</v>
      </c>
      <c r="K6" s="137" t="s">
        <v>178</v>
      </c>
      <c r="L6" s="138"/>
      <c r="M6" s="138"/>
      <c r="N6" s="138"/>
      <c r="O6" s="138"/>
      <c r="P6" s="138"/>
      <c r="Q6" s="138"/>
      <c r="R6" s="138"/>
      <c r="S6" s="139"/>
      <c r="T6" s="148" t="s">
        <v>186</v>
      </c>
      <c r="U6" s="149"/>
      <c r="V6" s="127" t="s">
        <v>188</v>
      </c>
      <c r="W6" s="127" t="s">
        <v>189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3" customFormat="1" ht="40.5" customHeight="1">
      <c r="A7" s="141"/>
      <c r="B7" s="144"/>
      <c r="C7" s="144"/>
      <c r="D7" s="144"/>
      <c r="E7" s="144"/>
      <c r="F7" s="144"/>
      <c r="G7" s="124"/>
      <c r="H7" s="132"/>
      <c r="I7" s="135"/>
      <c r="J7" s="160"/>
      <c r="K7" s="128" t="s">
        <v>180</v>
      </c>
      <c r="L7" s="129"/>
      <c r="M7" s="118" t="s">
        <v>179</v>
      </c>
      <c r="N7" s="120" t="s">
        <v>181</v>
      </c>
      <c r="O7" s="121"/>
      <c r="P7" s="154" t="s">
        <v>206</v>
      </c>
      <c r="Q7" s="154" t="s">
        <v>234</v>
      </c>
      <c r="R7" s="122" t="s">
        <v>236</v>
      </c>
      <c r="S7" s="124" t="s">
        <v>184</v>
      </c>
      <c r="T7" s="118" t="s">
        <v>185</v>
      </c>
      <c r="U7" s="146" t="s">
        <v>187</v>
      </c>
      <c r="V7" s="124"/>
      <c r="W7" s="124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44" customFormat="1" ht="69.75" customHeight="1" thickBot="1">
      <c r="A8" s="142"/>
      <c r="B8" s="145"/>
      <c r="C8" s="145"/>
      <c r="D8" s="145"/>
      <c r="E8" s="145"/>
      <c r="F8" s="145"/>
      <c r="G8" s="125"/>
      <c r="H8" s="133"/>
      <c r="I8" s="136"/>
      <c r="J8" s="161"/>
      <c r="K8" s="60" t="s">
        <v>176</v>
      </c>
      <c r="L8" s="61" t="s">
        <v>177</v>
      </c>
      <c r="M8" s="119"/>
      <c r="N8" s="61" t="s">
        <v>182</v>
      </c>
      <c r="O8" s="61" t="s">
        <v>183</v>
      </c>
      <c r="P8" s="155"/>
      <c r="Q8" s="155"/>
      <c r="R8" s="123"/>
      <c r="S8" s="125"/>
      <c r="T8" s="119"/>
      <c r="U8" s="147"/>
      <c r="V8" s="125"/>
      <c r="W8" s="125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</row>
    <row r="9" spans="1:53" s="44" customFormat="1" ht="30">
      <c r="A9" s="50">
        <v>1</v>
      </c>
      <c r="B9" s="38" t="s">
        <v>95</v>
      </c>
      <c r="C9" s="40" t="s">
        <v>153</v>
      </c>
      <c r="D9" s="38" t="s">
        <v>57</v>
      </c>
      <c r="E9" s="40" t="s">
        <v>168</v>
      </c>
      <c r="F9" s="40" t="s">
        <v>171</v>
      </c>
      <c r="G9" s="45">
        <v>200000</v>
      </c>
      <c r="H9" s="45">
        <v>35911.92</v>
      </c>
      <c r="I9" s="47">
        <v>25</v>
      </c>
      <c r="J9" s="47">
        <v>100</v>
      </c>
      <c r="K9" s="47">
        <f aca="true" t="shared" si="0" ref="K9:K14">+G9*2.87%</f>
        <v>5740</v>
      </c>
      <c r="L9" s="47">
        <f aca="true" t="shared" si="1" ref="L9:L14">+G9*7.1%</f>
        <v>14199.999999999998</v>
      </c>
      <c r="M9" s="47">
        <f aca="true" t="shared" si="2" ref="M9:M15">65050*1.1%</f>
        <v>715.5500000000001</v>
      </c>
      <c r="N9" s="47">
        <f>162625*3.04%</f>
        <v>4943.8</v>
      </c>
      <c r="O9" s="47">
        <f>162625*7.09%</f>
        <v>11530.112500000001</v>
      </c>
      <c r="P9" s="47"/>
      <c r="Q9" s="47"/>
      <c r="R9" s="47">
        <v>0</v>
      </c>
      <c r="S9" s="47">
        <f aca="true" t="shared" si="3" ref="S9:S14">SUM(K9:R9)</f>
        <v>37129.4625</v>
      </c>
      <c r="T9" s="47">
        <f>+K9+N9</f>
        <v>10683.8</v>
      </c>
      <c r="U9" s="47">
        <f aca="true" t="shared" si="4" ref="U9:U14">+L9+M9+O9</f>
        <v>26445.6625</v>
      </c>
      <c r="V9" s="47">
        <f>+G9-T9-H9-I9-R9-J9-P9-Q9</f>
        <v>153279.28000000003</v>
      </c>
      <c r="W9" s="51">
        <v>111</v>
      </c>
      <c r="X9" s="41"/>
      <c r="Y9" s="42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</row>
    <row r="10" spans="1:53" s="44" customFormat="1" ht="30">
      <c r="A10" s="50">
        <f aca="true" t="shared" si="5" ref="A10:A15">A9+1</f>
        <v>2</v>
      </c>
      <c r="B10" s="38" t="s">
        <v>219</v>
      </c>
      <c r="C10" s="40" t="s">
        <v>153</v>
      </c>
      <c r="D10" s="40" t="s">
        <v>106</v>
      </c>
      <c r="E10" s="40" t="s">
        <v>168</v>
      </c>
      <c r="F10" s="40" t="s">
        <v>171</v>
      </c>
      <c r="G10" s="45">
        <v>150000</v>
      </c>
      <c r="H10" s="45">
        <v>23866.62</v>
      </c>
      <c r="I10" s="47">
        <v>25</v>
      </c>
      <c r="J10" s="47">
        <v>100</v>
      </c>
      <c r="K10" s="47">
        <f>+G10*2.87%</f>
        <v>4305</v>
      </c>
      <c r="L10" s="47">
        <f t="shared" si="1"/>
        <v>10649.999999999998</v>
      </c>
      <c r="M10" s="47">
        <f t="shared" si="2"/>
        <v>715.5500000000001</v>
      </c>
      <c r="N10" s="47">
        <f>G10*3.04%</f>
        <v>4560</v>
      </c>
      <c r="O10" s="47">
        <f>G10*7.09%</f>
        <v>10635</v>
      </c>
      <c r="P10" s="47"/>
      <c r="Q10" s="47"/>
      <c r="R10" s="47">
        <v>0</v>
      </c>
      <c r="S10" s="47">
        <f t="shared" si="3"/>
        <v>30865.549999999996</v>
      </c>
      <c r="T10" s="47">
        <f>+K10+N10</f>
        <v>8865</v>
      </c>
      <c r="U10" s="47">
        <f t="shared" si="4"/>
        <v>22000.549999999996</v>
      </c>
      <c r="V10" s="47">
        <f aca="true" t="shared" si="6" ref="V10:V75">+G10-T10-H10-I10-R10-J10-P10-Q10</f>
        <v>117143.38</v>
      </c>
      <c r="W10" s="51">
        <v>111</v>
      </c>
      <c r="X10" s="41"/>
      <c r="Y10" s="42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</row>
    <row r="11" spans="1:53" s="44" customFormat="1" ht="30">
      <c r="A11" s="50">
        <f t="shared" si="5"/>
        <v>3</v>
      </c>
      <c r="B11" s="38" t="s">
        <v>96</v>
      </c>
      <c r="C11" s="40" t="s">
        <v>153</v>
      </c>
      <c r="D11" s="40" t="s">
        <v>97</v>
      </c>
      <c r="E11" s="40" t="s">
        <v>166</v>
      </c>
      <c r="F11" s="40" t="s">
        <v>171</v>
      </c>
      <c r="G11" s="45">
        <v>146121.87</v>
      </c>
      <c r="H11" s="45">
        <v>22954.39</v>
      </c>
      <c r="I11" s="47">
        <v>25</v>
      </c>
      <c r="J11" s="47">
        <v>100</v>
      </c>
      <c r="K11" s="47">
        <f t="shared" si="0"/>
        <v>4193.697669</v>
      </c>
      <c r="L11" s="47">
        <f t="shared" si="1"/>
        <v>10374.652769999999</v>
      </c>
      <c r="M11" s="47">
        <f t="shared" si="2"/>
        <v>715.5500000000001</v>
      </c>
      <c r="N11" s="47">
        <f>+G11*3.04%</f>
        <v>4442.104848</v>
      </c>
      <c r="O11" s="47">
        <f>+G11*7.09%</f>
        <v>10360.040583</v>
      </c>
      <c r="P11" s="47"/>
      <c r="Q11" s="47">
        <v>2666.66</v>
      </c>
      <c r="R11" s="47"/>
      <c r="S11" s="47">
        <f t="shared" si="3"/>
        <v>32752.705869999994</v>
      </c>
      <c r="T11" s="47">
        <f aca="true" t="shared" si="7" ref="T11:T38">+K11+N11</f>
        <v>8635.802517</v>
      </c>
      <c r="U11" s="47">
        <f t="shared" si="4"/>
        <v>21450.243352999998</v>
      </c>
      <c r="V11" s="47">
        <f t="shared" si="6"/>
        <v>111740.01748299999</v>
      </c>
      <c r="W11" s="51">
        <v>111</v>
      </c>
      <c r="X11" s="41"/>
      <c r="Y11" s="42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</row>
    <row r="12" spans="1:53" s="44" customFormat="1" ht="17.25">
      <c r="A12" s="50">
        <f t="shared" si="5"/>
        <v>4</v>
      </c>
      <c r="B12" s="38" t="s">
        <v>98</v>
      </c>
      <c r="C12" s="40" t="s">
        <v>153</v>
      </c>
      <c r="D12" s="38" t="s">
        <v>99</v>
      </c>
      <c r="E12" s="40" t="s">
        <v>166</v>
      </c>
      <c r="F12" s="40" t="s">
        <v>171</v>
      </c>
      <c r="G12" s="45">
        <v>180000</v>
      </c>
      <c r="H12" s="45">
        <v>30717.89</v>
      </c>
      <c r="I12" s="47">
        <v>25</v>
      </c>
      <c r="J12" s="47">
        <v>100</v>
      </c>
      <c r="K12" s="47">
        <f t="shared" si="0"/>
        <v>5166</v>
      </c>
      <c r="L12" s="47">
        <f t="shared" si="1"/>
        <v>12779.999999999998</v>
      </c>
      <c r="M12" s="47">
        <f t="shared" si="2"/>
        <v>715.5500000000001</v>
      </c>
      <c r="N12" s="47">
        <f>162625*3.04%</f>
        <v>4943.8</v>
      </c>
      <c r="O12" s="47">
        <f>162625*7.09%</f>
        <v>11530.112500000001</v>
      </c>
      <c r="P12" s="47"/>
      <c r="Q12" s="47"/>
      <c r="R12" s="47">
        <v>1350.12</v>
      </c>
      <c r="S12" s="47">
        <f t="shared" si="3"/>
        <v>36485.582500000004</v>
      </c>
      <c r="T12" s="47">
        <f>+K12+N12</f>
        <v>10109.8</v>
      </c>
      <c r="U12" s="47">
        <f t="shared" si="4"/>
        <v>25025.6625</v>
      </c>
      <c r="V12" s="47">
        <f t="shared" si="6"/>
        <v>137697.19</v>
      </c>
      <c r="W12" s="51">
        <v>111</v>
      </c>
      <c r="X12" s="41"/>
      <c r="Y12" s="42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</row>
    <row r="13" spans="1:53" s="44" customFormat="1" ht="17.25">
      <c r="A13" s="50">
        <f t="shared" si="5"/>
        <v>5</v>
      </c>
      <c r="B13" s="38" t="s">
        <v>148</v>
      </c>
      <c r="C13" s="40" t="s">
        <v>153</v>
      </c>
      <c r="D13" s="40" t="s">
        <v>147</v>
      </c>
      <c r="E13" s="40" t="s">
        <v>166</v>
      </c>
      <c r="F13" s="40" t="s">
        <v>172</v>
      </c>
      <c r="G13" s="45">
        <v>129000</v>
      </c>
      <c r="H13" s="45">
        <v>18926.89</v>
      </c>
      <c r="I13" s="47">
        <v>25</v>
      </c>
      <c r="J13" s="47">
        <v>100</v>
      </c>
      <c r="K13" s="47">
        <f>+G13*2.87%</f>
        <v>3702.3</v>
      </c>
      <c r="L13" s="47">
        <f>+G13*7.1%</f>
        <v>9159</v>
      </c>
      <c r="M13" s="47">
        <f t="shared" si="2"/>
        <v>715.5500000000001</v>
      </c>
      <c r="N13" s="47">
        <f>+G13*3.04%</f>
        <v>3921.6</v>
      </c>
      <c r="O13" s="47">
        <f aca="true" t="shared" si="8" ref="O13:O20">+G13*7.09%</f>
        <v>9146.1</v>
      </c>
      <c r="P13" s="47"/>
      <c r="Q13" s="47"/>
      <c r="R13" s="47"/>
      <c r="S13" s="47">
        <f>SUM(K13:R13)</f>
        <v>26644.549999999996</v>
      </c>
      <c r="T13" s="47">
        <f>+K13+N13</f>
        <v>7623.9</v>
      </c>
      <c r="U13" s="47">
        <f>+L13+M13+O13</f>
        <v>19020.65</v>
      </c>
      <c r="V13" s="47">
        <f t="shared" si="6"/>
        <v>102324.21</v>
      </c>
      <c r="W13" s="51">
        <v>111</v>
      </c>
      <c r="X13" s="41"/>
      <c r="Y13" s="42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</row>
    <row r="14" spans="1:53" s="44" customFormat="1" ht="30">
      <c r="A14" s="50">
        <f t="shared" si="5"/>
        <v>6</v>
      </c>
      <c r="B14" s="38" t="s">
        <v>14</v>
      </c>
      <c r="C14" s="40" t="s">
        <v>153</v>
      </c>
      <c r="D14" s="38" t="s">
        <v>50</v>
      </c>
      <c r="E14" s="40" t="s">
        <v>0</v>
      </c>
      <c r="F14" s="40" t="s">
        <v>172</v>
      </c>
      <c r="G14" s="45">
        <v>80397.04</v>
      </c>
      <c r="H14" s="45">
        <v>7494.26</v>
      </c>
      <c r="I14" s="47">
        <v>25</v>
      </c>
      <c r="J14" s="47">
        <v>100</v>
      </c>
      <c r="K14" s="47">
        <f t="shared" si="0"/>
        <v>2307.395048</v>
      </c>
      <c r="L14" s="47">
        <f t="shared" si="1"/>
        <v>5708.189839999999</v>
      </c>
      <c r="M14" s="47">
        <f t="shared" si="2"/>
        <v>715.5500000000001</v>
      </c>
      <c r="N14" s="47">
        <f>+G14*3.04%</f>
        <v>2444.0700159999997</v>
      </c>
      <c r="O14" s="47">
        <f t="shared" si="8"/>
        <v>5700.150136</v>
      </c>
      <c r="P14" s="47"/>
      <c r="Q14" s="47">
        <v>2583.33</v>
      </c>
      <c r="R14" s="47">
        <v>0</v>
      </c>
      <c r="S14" s="47">
        <f t="shared" si="3"/>
        <v>19458.685039999997</v>
      </c>
      <c r="T14" s="47">
        <f t="shared" si="7"/>
        <v>4751.465064</v>
      </c>
      <c r="U14" s="47">
        <f t="shared" si="4"/>
        <v>12123.889975999999</v>
      </c>
      <c r="V14" s="47">
        <f t="shared" si="6"/>
        <v>65442.98493599999</v>
      </c>
      <c r="W14" s="51">
        <v>111</v>
      </c>
      <c r="X14" s="41"/>
      <c r="Y14" s="42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</row>
    <row r="15" spans="1:53" s="44" customFormat="1" ht="30">
      <c r="A15" s="50">
        <f t="shared" si="5"/>
        <v>7</v>
      </c>
      <c r="B15" s="38" t="s">
        <v>22</v>
      </c>
      <c r="C15" s="40" t="s">
        <v>154</v>
      </c>
      <c r="D15" s="38" t="s">
        <v>69</v>
      </c>
      <c r="E15" s="40" t="s">
        <v>0</v>
      </c>
      <c r="F15" s="40" t="s">
        <v>171</v>
      </c>
      <c r="G15" s="45">
        <v>90000</v>
      </c>
      <c r="H15" s="45">
        <v>9753.12</v>
      </c>
      <c r="I15" s="47">
        <v>25</v>
      </c>
      <c r="J15" s="47">
        <v>100</v>
      </c>
      <c r="K15" s="47">
        <f aca="true" t="shared" si="9" ref="K15:K20">+G15*2.87%</f>
        <v>2583</v>
      </c>
      <c r="L15" s="47">
        <f aca="true" t="shared" si="10" ref="L15:L20">+G15*7.1%</f>
        <v>6389.999999999999</v>
      </c>
      <c r="M15" s="47">
        <f t="shared" si="2"/>
        <v>715.5500000000001</v>
      </c>
      <c r="N15" s="47">
        <f>+G15*3.04%</f>
        <v>2736</v>
      </c>
      <c r="O15" s="47">
        <f t="shared" si="8"/>
        <v>6381</v>
      </c>
      <c r="P15" s="47"/>
      <c r="Q15" s="47"/>
      <c r="R15" s="47">
        <v>0</v>
      </c>
      <c r="S15" s="47">
        <f aca="true" t="shared" si="11" ref="S15:S20">SUM(K15:R15)</f>
        <v>18805.55</v>
      </c>
      <c r="T15" s="47">
        <f t="shared" si="7"/>
        <v>5319</v>
      </c>
      <c r="U15" s="47">
        <f aca="true" t="shared" si="12" ref="U15:U20">+L15+M15+O15</f>
        <v>13486.55</v>
      </c>
      <c r="V15" s="47">
        <f t="shared" si="6"/>
        <v>74802.88</v>
      </c>
      <c r="W15" s="51">
        <v>111</v>
      </c>
      <c r="X15" s="41"/>
      <c r="Y15" s="42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</row>
    <row r="16" spans="1:53" s="44" customFormat="1" ht="30">
      <c r="A16" s="50">
        <f aca="true" t="shared" si="13" ref="A16:A21">A15+1</f>
        <v>8</v>
      </c>
      <c r="B16" s="38" t="s">
        <v>102</v>
      </c>
      <c r="C16" s="40" t="s">
        <v>154</v>
      </c>
      <c r="D16" s="38" t="s">
        <v>103</v>
      </c>
      <c r="E16" s="40" t="s">
        <v>166</v>
      </c>
      <c r="F16" s="40" t="s">
        <v>171</v>
      </c>
      <c r="G16" s="45">
        <v>50000</v>
      </c>
      <c r="H16" s="45">
        <v>1854</v>
      </c>
      <c r="I16" s="47">
        <v>25</v>
      </c>
      <c r="J16" s="47">
        <v>100</v>
      </c>
      <c r="K16" s="47">
        <f t="shared" si="9"/>
        <v>1435</v>
      </c>
      <c r="L16" s="47">
        <f t="shared" si="10"/>
        <v>3549.9999999999995</v>
      </c>
      <c r="M16" s="47">
        <f>G16*1.1%</f>
        <v>550</v>
      </c>
      <c r="N16" s="47">
        <f>G16*3.04%</f>
        <v>1520</v>
      </c>
      <c r="O16" s="47">
        <f t="shared" si="8"/>
        <v>3545.0000000000005</v>
      </c>
      <c r="P16" s="47"/>
      <c r="Q16" s="47"/>
      <c r="R16" s="47"/>
      <c r="S16" s="47">
        <f t="shared" si="11"/>
        <v>10600</v>
      </c>
      <c r="T16" s="47">
        <f>+K16+N16</f>
        <v>2955</v>
      </c>
      <c r="U16" s="47">
        <f t="shared" si="12"/>
        <v>7645</v>
      </c>
      <c r="V16" s="47">
        <f t="shared" si="6"/>
        <v>45066</v>
      </c>
      <c r="W16" s="51">
        <v>111</v>
      </c>
      <c r="X16" s="41"/>
      <c r="Y16" s="42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</row>
    <row r="17" spans="1:53" s="44" customFormat="1" ht="30">
      <c r="A17" s="50">
        <f t="shared" si="13"/>
        <v>9</v>
      </c>
      <c r="B17" s="38" t="s">
        <v>16</v>
      </c>
      <c r="C17" s="40" t="s">
        <v>154</v>
      </c>
      <c r="D17" s="38" t="s">
        <v>88</v>
      </c>
      <c r="E17" s="40" t="s">
        <v>0</v>
      </c>
      <c r="F17" s="40" t="s">
        <v>172</v>
      </c>
      <c r="G17" s="45">
        <v>34153.36</v>
      </c>
      <c r="H17" s="45">
        <v>0</v>
      </c>
      <c r="I17" s="47">
        <v>25</v>
      </c>
      <c r="J17" s="47">
        <v>100</v>
      </c>
      <c r="K17" s="47">
        <f t="shared" si="9"/>
        <v>980.201432</v>
      </c>
      <c r="L17" s="47">
        <f t="shared" si="10"/>
        <v>2424.88856</v>
      </c>
      <c r="M17" s="47">
        <f>+G17*1.1%</f>
        <v>375.68696000000006</v>
      </c>
      <c r="N17" s="47">
        <f aca="true" t="shared" si="14" ref="N17:N28">+G17*3.04%</f>
        <v>1038.262144</v>
      </c>
      <c r="O17" s="47">
        <f t="shared" si="8"/>
        <v>2421.4732240000003</v>
      </c>
      <c r="P17" s="47"/>
      <c r="Q17" s="47"/>
      <c r="R17" s="47">
        <v>1350.12</v>
      </c>
      <c r="S17" s="47">
        <f t="shared" si="11"/>
        <v>8590.63232</v>
      </c>
      <c r="T17" s="47">
        <f t="shared" si="7"/>
        <v>2018.463576</v>
      </c>
      <c r="U17" s="47">
        <f t="shared" si="12"/>
        <v>5222.048744</v>
      </c>
      <c r="V17" s="47">
        <f t="shared" si="6"/>
        <v>30659.776424</v>
      </c>
      <c r="W17" s="51">
        <v>111</v>
      </c>
      <c r="X17" s="41"/>
      <c r="Y17" s="42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</row>
    <row r="18" spans="1:53" s="44" customFormat="1" ht="30">
      <c r="A18" s="50">
        <f>A17+1</f>
        <v>10</v>
      </c>
      <c r="B18" s="38" t="s">
        <v>130</v>
      </c>
      <c r="C18" s="40" t="s">
        <v>154</v>
      </c>
      <c r="D18" s="38" t="s">
        <v>131</v>
      </c>
      <c r="E18" s="40" t="s">
        <v>0</v>
      </c>
      <c r="F18" s="40" t="s">
        <v>172</v>
      </c>
      <c r="G18" s="45">
        <v>50700</v>
      </c>
      <c r="H18" s="45">
        <v>1952.79</v>
      </c>
      <c r="I18" s="47">
        <v>25</v>
      </c>
      <c r="J18" s="47">
        <v>100</v>
      </c>
      <c r="K18" s="47">
        <f t="shared" si="9"/>
        <v>1455.09</v>
      </c>
      <c r="L18" s="47">
        <f t="shared" si="10"/>
        <v>3599.7</v>
      </c>
      <c r="M18" s="47">
        <f>+G18*1.1%</f>
        <v>557.7</v>
      </c>
      <c r="N18" s="47">
        <f t="shared" si="14"/>
        <v>1541.28</v>
      </c>
      <c r="O18" s="47">
        <f t="shared" si="8"/>
        <v>3594.63</v>
      </c>
      <c r="P18" s="47"/>
      <c r="Q18" s="47"/>
      <c r="R18" s="47"/>
      <c r="S18" s="47">
        <f t="shared" si="11"/>
        <v>10748.4</v>
      </c>
      <c r="T18" s="47">
        <f>+K18+N18</f>
        <v>2996.37</v>
      </c>
      <c r="U18" s="47">
        <f t="shared" si="12"/>
        <v>7752.03</v>
      </c>
      <c r="V18" s="47">
        <f t="shared" si="6"/>
        <v>45625.84</v>
      </c>
      <c r="W18" s="51">
        <v>111</v>
      </c>
      <c r="X18" s="41"/>
      <c r="Y18" s="42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1:53" s="44" customFormat="1" ht="30">
      <c r="A19" s="50">
        <f t="shared" si="13"/>
        <v>11</v>
      </c>
      <c r="B19" s="38" t="s">
        <v>80</v>
      </c>
      <c r="C19" s="40" t="s">
        <v>154</v>
      </c>
      <c r="D19" s="38" t="s">
        <v>81</v>
      </c>
      <c r="E19" s="40" t="s">
        <v>0</v>
      </c>
      <c r="F19" s="40" t="s">
        <v>171</v>
      </c>
      <c r="G19" s="45">
        <v>34000</v>
      </c>
      <c r="H19" s="45"/>
      <c r="I19" s="47">
        <v>25</v>
      </c>
      <c r="J19" s="47">
        <v>100</v>
      </c>
      <c r="K19" s="47">
        <f t="shared" si="9"/>
        <v>975.8</v>
      </c>
      <c r="L19" s="47">
        <f t="shared" si="10"/>
        <v>2414</v>
      </c>
      <c r="M19" s="47">
        <f>+G19*1.1%</f>
        <v>374.00000000000006</v>
      </c>
      <c r="N19" s="47">
        <f t="shared" si="14"/>
        <v>1033.6</v>
      </c>
      <c r="O19" s="47">
        <f t="shared" si="8"/>
        <v>2410.6000000000004</v>
      </c>
      <c r="P19" s="47"/>
      <c r="Q19" s="47"/>
      <c r="R19" s="47"/>
      <c r="S19" s="47">
        <f t="shared" si="11"/>
        <v>7208</v>
      </c>
      <c r="T19" s="47">
        <f t="shared" si="7"/>
        <v>2009.3999999999999</v>
      </c>
      <c r="U19" s="47">
        <f t="shared" si="12"/>
        <v>5198.6</v>
      </c>
      <c r="V19" s="47">
        <f t="shared" si="6"/>
        <v>31865.6</v>
      </c>
      <c r="W19" s="51">
        <v>111</v>
      </c>
      <c r="X19" s="41"/>
      <c r="Y19" s="42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s="44" customFormat="1" ht="30">
      <c r="A20" s="50">
        <f t="shared" si="13"/>
        <v>12</v>
      </c>
      <c r="B20" s="38" t="s">
        <v>220</v>
      </c>
      <c r="C20" s="40" t="s">
        <v>154</v>
      </c>
      <c r="D20" s="38" t="s">
        <v>221</v>
      </c>
      <c r="E20" s="40" t="s">
        <v>0</v>
      </c>
      <c r="F20" s="40" t="s">
        <v>171</v>
      </c>
      <c r="G20" s="45">
        <v>33000</v>
      </c>
      <c r="H20" s="45"/>
      <c r="I20" s="47">
        <v>25</v>
      </c>
      <c r="J20" s="47">
        <v>100</v>
      </c>
      <c r="K20" s="47">
        <f t="shared" si="9"/>
        <v>947.1</v>
      </c>
      <c r="L20" s="47">
        <f t="shared" si="10"/>
        <v>2343</v>
      </c>
      <c r="M20" s="47">
        <f>+G20*1.1%</f>
        <v>363.00000000000006</v>
      </c>
      <c r="N20" s="47">
        <f>+G20*3.04%</f>
        <v>1003.2</v>
      </c>
      <c r="O20" s="47">
        <f t="shared" si="8"/>
        <v>2339.7000000000003</v>
      </c>
      <c r="P20" s="47"/>
      <c r="Q20" s="47"/>
      <c r="R20" s="47"/>
      <c r="S20" s="47">
        <f t="shared" si="11"/>
        <v>6996</v>
      </c>
      <c r="T20" s="47">
        <f>+K20+N20</f>
        <v>1950.3000000000002</v>
      </c>
      <c r="U20" s="47">
        <f t="shared" si="12"/>
        <v>5045.700000000001</v>
      </c>
      <c r="V20" s="47">
        <f t="shared" si="6"/>
        <v>30924.7</v>
      </c>
      <c r="W20" s="51">
        <v>111</v>
      </c>
      <c r="X20" s="41"/>
      <c r="Y20" s="42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</row>
    <row r="21" spans="1:53" s="44" customFormat="1" ht="30">
      <c r="A21" s="50">
        <f t="shared" si="13"/>
        <v>13</v>
      </c>
      <c r="B21" s="38" t="s">
        <v>100</v>
      </c>
      <c r="C21" s="40" t="s">
        <v>155</v>
      </c>
      <c r="D21" s="38" t="s">
        <v>101</v>
      </c>
      <c r="E21" s="40" t="s">
        <v>0</v>
      </c>
      <c r="F21" s="40" t="s">
        <v>172</v>
      </c>
      <c r="G21" s="45">
        <v>80000</v>
      </c>
      <c r="H21" s="45">
        <v>7063.34</v>
      </c>
      <c r="I21" s="47">
        <v>25</v>
      </c>
      <c r="J21" s="47">
        <v>100</v>
      </c>
      <c r="K21" s="47">
        <f aca="true" t="shared" si="15" ref="K21:K48">+G21*2.87%</f>
        <v>2296</v>
      </c>
      <c r="L21" s="47">
        <f aca="true" t="shared" si="16" ref="L21:L48">+G21*7.1%</f>
        <v>5679.999999999999</v>
      </c>
      <c r="M21" s="47">
        <f>65050*1.1%</f>
        <v>715.5500000000001</v>
      </c>
      <c r="N21" s="47">
        <f t="shared" si="14"/>
        <v>2432</v>
      </c>
      <c r="O21" s="47">
        <f aca="true" t="shared" si="17" ref="O21:O28">+G21*7.09%</f>
        <v>5672</v>
      </c>
      <c r="P21" s="47"/>
      <c r="Q21" s="47"/>
      <c r="R21" s="47">
        <v>1350.12</v>
      </c>
      <c r="S21" s="47">
        <f aca="true" t="shared" si="18" ref="S21:S37">SUM(K21:R21)</f>
        <v>18145.67</v>
      </c>
      <c r="T21" s="47">
        <f>+K21+N21</f>
        <v>4728</v>
      </c>
      <c r="U21" s="47">
        <f aca="true" t="shared" si="19" ref="U21:U48">+L21+M21+O21</f>
        <v>12067.55</v>
      </c>
      <c r="V21" s="47">
        <f t="shared" si="6"/>
        <v>66733.54000000001</v>
      </c>
      <c r="W21" s="51">
        <v>111</v>
      </c>
      <c r="X21" s="41"/>
      <c r="Y21" s="42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</row>
    <row r="22" spans="1:53" s="44" customFormat="1" ht="30">
      <c r="A22" s="50">
        <f aca="true" t="shared" si="20" ref="A22:A48">A21+1</f>
        <v>14</v>
      </c>
      <c r="B22" s="38" t="s">
        <v>70</v>
      </c>
      <c r="C22" s="40" t="s">
        <v>155</v>
      </c>
      <c r="D22" s="38" t="s">
        <v>44</v>
      </c>
      <c r="E22" s="40" t="s">
        <v>0</v>
      </c>
      <c r="F22" s="40" t="s">
        <v>172</v>
      </c>
      <c r="G22" s="45">
        <v>40000</v>
      </c>
      <c r="H22" s="45">
        <v>442.65</v>
      </c>
      <c r="I22" s="47">
        <v>25</v>
      </c>
      <c r="J22" s="47">
        <v>100</v>
      </c>
      <c r="K22" s="47">
        <f t="shared" si="15"/>
        <v>1148</v>
      </c>
      <c r="L22" s="47">
        <f t="shared" si="16"/>
        <v>2839.9999999999995</v>
      </c>
      <c r="M22" s="47">
        <f>+G22*1.1%</f>
        <v>440.00000000000006</v>
      </c>
      <c r="N22" s="47">
        <f t="shared" si="14"/>
        <v>1216</v>
      </c>
      <c r="O22" s="47">
        <f t="shared" si="17"/>
        <v>2836</v>
      </c>
      <c r="P22" s="47"/>
      <c r="Q22" s="47"/>
      <c r="R22" s="47">
        <v>0</v>
      </c>
      <c r="S22" s="47">
        <f t="shared" si="18"/>
        <v>8480</v>
      </c>
      <c r="T22" s="47">
        <f t="shared" si="7"/>
        <v>2364</v>
      </c>
      <c r="U22" s="47">
        <f t="shared" si="19"/>
        <v>6116</v>
      </c>
      <c r="V22" s="47">
        <f t="shared" si="6"/>
        <v>37068.35</v>
      </c>
      <c r="W22" s="51">
        <v>111</v>
      </c>
      <c r="X22" s="41"/>
      <c r="Y22" s="42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</row>
    <row r="23" spans="1:53" s="44" customFormat="1" ht="30">
      <c r="A23" s="50">
        <f t="shared" si="20"/>
        <v>15</v>
      </c>
      <c r="B23" s="38" t="s">
        <v>23</v>
      </c>
      <c r="C23" s="40" t="s">
        <v>155</v>
      </c>
      <c r="D23" s="38" t="s">
        <v>78</v>
      </c>
      <c r="E23" s="40" t="s">
        <v>0</v>
      </c>
      <c r="F23" s="40" t="s">
        <v>172</v>
      </c>
      <c r="G23" s="45">
        <v>90081.87</v>
      </c>
      <c r="H23" s="45">
        <v>9434.85</v>
      </c>
      <c r="I23" s="47">
        <v>25</v>
      </c>
      <c r="J23" s="47">
        <v>100</v>
      </c>
      <c r="K23" s="47">
        <f t="shared" si="15"/>
        <v>2585.3496689999997</v>
      </c>
      <c r="L23" s="47">
        <f t="shared" si="16"/>
        <v>6395.81277</v>
      </c>
      <c r="M23" s="47">
        <f>65050*1.1%</f>
        <v>715.5500000000001</v>
      </c>
      <c r="N23" s="47">
        <f t="shared" si="14"/>
        <v>2738.488848</v>
      </c>
      <c r="O23" s="47">
        <f t="shared" si="17"/>
        <v>6386.804583</v>
      </c>
      <c r="P23" s="47"/>
      <c r="Q23" s="47"/>
      <c r="R23" s="47">
        <v>1350.12</v>
      </c>
      <c r="S23" s="47">
        <f t="shared" si="18"/>
        <v>20172.12587</v>
      </c>
      <c r="T23" s="47">
        <f t="shared" si="7"/>
        <v>5323.838517</v>
      </c>
      <c r="U23" s="47">
        <f t="shared" si="19"/>
        <v>13498.167353</v>
      </c>
      <c r="V23" s="47">
        <f t="shared" si="6"/>
        <v>73848.061483</v>
      </c>
      <c r="W23" s="51">
        <v>111</v>
      </c>
      <c r="X23" s="41"/>
      <c r="Y23" s="42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</row>
    <row r="24" spans="1:53" s="44" customFormat="1" ht="30">
      <c r="A24" s="50">
        <f t="shared" si="20"/>
        <v>16</v>
      </c>
      <c r="B24" s="38" t="s">
        <v>79</v>
      </c>
      <c r="C24" s="40" t="s">
        <v>156</v>
      </c>
      <c r="D24" s="38" t="s">
        <v>51</v>
      </c>
      <c r="E24" s="40" t="s">
        <v>0</v>
      </c>
      <c r="F24" s="40" t="s">
        <v>171</v>
      </c>
      <c r="G24" s="45">
        <v>56200</v>
      </c>
      <c r="H24" s="45">
        <v>2324</v>
      </c>
      <c r="I24" s="47">
        <v>25</v>
      </c>
      <c r="J24" s="47">
        <v>100</v>
      </c>
      <c r="K24" s="47">
        <f t="shared" si="15"/>
        <v>1612.94</v>
      </c>
      <c r="L24" s="47">
        <f t="shared" si="16"/>
        <v>3990.2</v>
      </c>
      <c r="M24" s="47">
        <f>G24*1.1%</f>
        <v>618.2</v>
      </c>
      <c r="N24" s="47">
        <f t="shared" si="14"/>
        <v>1708.48</v>
      </c>
      <c r="O24" s="47">
        <f t="shared" si="17"/>
        <v>3984.5800000000004</v>
      </c>
      <c r="P24" s="47"/>
      <c r="Q24" s="47"/>
      <c r="R24" s="47">
        <v>2700.24</v>
      </c>
      <c r="S24" s="47">
        <f t="shared" si="18"/>
        <v>14614.64</v>
      </c>
      <c r="T24" s="47">
        <f t="shared" si="7"/>
        <v>3321.42</v>
      </c>
      <c r="U24" s="47">
        <f t="shared" si="19"/>
        <v>8592.98</v>
      </c>
      <c r="V24" s="47">
        <f t="shared" si="6"/>
        <v>47729.340000000004</v>
      </c>
      <c r="W24" s="51">
        <v>111</v>
      </c>
      <c r="X24" s="41"/>
      <c r="Y24" s="42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</row>
    <row r="25" spans="1:53" s="44" customFormat="1" ht="30">
      <c r="A25" s="50">
        <f t="shared" si="20"/>
        <v>17</v>
      </c>
      <c r="B25" s="38" t="s">
        <v>37</v>
      </c>
      <c r="C25" s="40" t="s">
        <v>157</v>
      </c>
      <c r="D25" s="38" t="s">
        <v>55</v>
      </c>
      <c r="E25" s="40" t="s">
        <v>0</v>
      </c>
      <c r="F25" s="40" t="s">
        <v>172</v>
      </c>
      <c r="G25" s="45">
        <v>44824.05</v>
      </c>
      <c r="H25" s="45">
        <v>1123.49</v>
      </c>
      <c r="I25" s="47">
        <v>25</v>
      </c>
      <c r="J25" s="47">
        <v>100</v>
      </c>
      <c r="K25" s="47">
        <f t="shared" si="15"/>
        <v>1286.450235</v>
      </c>
      <c r="L25" s="47">
        <f t="shared" si="16"/>
        <v>3182.50755</v>
      </c>
      <c r="M25" s="47">
        <f>+G25*1.1%</f>
        <v>493.06455000000005</v>
      </c>
      <c r="N25" s="47">
        <f t="shared" si="14"/>
        <v>1362.65112</v>
      </c>
      <c r="O25" s="47">
        <f t="shared" si="17"/>
        <v>3178.0251450000005</v>
      </c>
      <c r="P25" s="47"/>
      <c r="Q25" s="47"/>
      <c r="R25" s="47">
        <v>0</v>
      </c>
      <c r="S25" s="47">
        <f t="shared" si="18"/>
        <v>9502.6986</v>
      </c>
      <c r="T25" s="47">
        <f t="shared" si="7"/>
        <v>2649.101355</v>
      </c>
      <c r="U25" s="47">
        <f t="shared" si="19"/>
        <v>6853.597245000001</v>
      </c>
      <c r="V25" s="47">
        <f t="shared" si="6"/>
        <v>40926.458645000006</v>
      </c>
      <c r="W25" s="51">
        <v>111</v>
      </c>
      <c r="X25" s="41"/>
      <c r="Y25" s="42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  <row r="26" spans="1:53" s="44" customFormat="1" ht="45">
      <c r="A26" s="50">
        <f t="shared" si="20"/>
        <v>18</v>
      </c>
      <c r="B26" s="38" t="s">
        <v>76</v>
      </c>
      <c r="C26" s="40" t="s">
        <v>157</v>
      </c>
      <c r="D26" s="38" t="s">
        <v>77</v>
      </c>
      <c r="E26" s="40" t="s">
        <v>0</v>
      </c>
      <c r="F26" s="40" t="s">
        <v>172</v>
      </c>
      <c r="G26" s="45">
        <v>50000</v>
      </c>
      <c r="H26" s="45">
        <v>1854</v>
      </c>
      <c r="I26" s="47">
        <v>25</v>
      </c>
      <c r="J26" s="47">
        <v>100</v>
      </c>
      <c r="K26" s="47">
        <f t="shared" si="15"/>
        <v>1435</v>
      </c>
      <c r="L26" s="47">
        <f t="shared" si="16"/>
        <v>3549.9999999999995</v>
      </c>
      <c r="M26" s="47">
        <f>+G26*1.1%</f>
        <v>550</v>
      </c>
      <c r="N26" s="47">
        <f t="shared" si="14"/>
        <v>1520</v>
      </c>
      <c r="O26" s="47">
        <f t="shared" si="17"/>
        <v>3545.0000000000005</v>
      </c>
      <c r="P26" s="47"/>
      <c r="Q26" s="47"/>
      <c r="R26" s="47">
        <v>0</v>
      </c>
      <c r="S26" s="47">
        <f t="shared" si="18"/>
        <v>10600</v>
      </c>
      <c r="T26" s="47">
        <f t="shared" si="7"/>
        <v>2955</v>
      </c>
      <c r="U26" s="47">
        <f t="shared" si="19"/>
        <v>7645</v>
      </c>
      <c r="V26" s="47">
        <f t="shared" si="6"/>
        <v>45066</v>
      </c>
      <c r="W26" s="51">
        <v>111</v>
      </c>
      <c r="X26" s="41"/>
      <c r="Y26" s="4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</row>
    <row r="27" spans="1:53" s="44" customFormat="1" ht="30">
      <c r="A27" s="50">
        <f t="shared" si="20"/>
        <v>19</v>
      </c>
      <c r="B27" s="38" t="s">
        <v>85</v>
      </c>
      <c r="C27" s="40" t="s">
        <v>157</v>
      </c>
      <c r="D27" s="38" t="s">
        <v>86</v>
      </c>
      <c r="E27" s="40" t="s">
        <v>0</v>
      </c>
      <c r="F27" s="40" t="s">
        <v>171</v>
      </c>
      <c r="G27" s="45">
        <v>90000</v>
      </c>
      <c r="H27" s="45">
        <v>9753.12</v>
      </c>
      <c r="I27" s="47">
        <v>25</v>
      </c>
      <c r="J27" s="47">
        <v>100</v>
      </c>
      <c r="K27" s="47">
        <f t="shared" si="15"/>
        <v>2583</v>
      </c>
      <c r="L27" s="47">
        <f t="shared" si="16"/>
        <v>6389.999999999999</v>
      </c>
      <c r="M27" s="47">
        <f>65050*1.1%</f>
        <v>715.5500000000001</v>
      </c>
      <c r="N27" s="47">
        <f t="shared" si="14"/>
        <v>2736</v>
      </c>
      <c r="O27" s="47">
        <f t="shared" si="17"/>
        <v>6381</v>
      </c>
      <c r="P27" s="47"/>
      <c r="Q27" s="47"/>
      <c r="R27" s="47"/>
      <c r="S27" s="47">
        <f t="shared" si="18"/>
        <v>18805.55</v>
      </c>
      <c r="T27" s="47">
        <f t="shared" si="7"/>
        <v>5319</v>
      </c>
      <c r="U27" s="47">
        <f t="shared" si="19"/>
        <v>13486.55</v>
      </c>
      <c r="V27" s="47">
        <f t="shared" si="6"/>
        <v>74802.88</v>
      </c>
      <c r="W27" s="51">
        <v>111</v>
      </c>
      <c r="X27" s="41"/>
      <c r="Y27" s="4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</row>
    <row r="28" spans="1:53" s="44" customFormat="1" ht="30">
      <c r="A28" s="50">
        <f t="shared" si="20"/>
        <v>20</v>
      </c>
      <c r="B28" s="38" t="s">
        <v>7</v>
      </c>
      <c r="C28" s="40" t="s">
        <v>158</v>
      </c>
      <c r="D28" s="38" t="s">
        <v>44</v>
      </c>
      <c r="E28" s="40" t="s">
        <v>0</v>
      </c>
      <c r="F28" s="40" t="s">
        <v>172</v>
      </c>
      <c r="G28" s="45">
        <v>45000</v>
      </c>
      <c r="H28" s="45">
        <v>1148.33</v>
      </c>
      <c r="I28" s="47">
        <v>25</v>
      </c>
      <c r="J28" s="47">
        <v>100</v>
      </c>
      <c r="K28" s="47">
        <f t="shared" si="15"/>
        <v>1291.5</v>
      </c>
      <c r="L28" s="47">
        <f t="shared" si="16"/>
        <v>3194.9999999999995</v>
      </c>
      <c r="M28" s="47">
        <f>+G28*1.1%</f>
        <v>495.00000000000006</v>
      </c>
      <c r="N28" s="47">
        <f t="shared" si="14"/>
        <v>1368</v>
      </c>
      <c r="O28" s="47">
        <f t="shared" si="17"/>
        <v>3190.5</v>
      </c>
      <c r="P28" s="47"/>
      <c r="Q28" s="47"/>
      <c r="R28" s="47">
        <v>0</v>
      </c>
      <c r="S28" s="47">
        <f t="shared" si="18"/>
        <v>9540</v>
      </c>
      <c r="T28" s="47">
        <f t="shared" si="7"/>
        <v>2659.5</v>
      </c>
      <c r="U28" s="47">
        <f t="shared" si="19"/>
        <v>6880.5</v>
      </c>
      <c r="V28" s="47">
        <f t="shared" si="6"/>
        <v>41067.17</v>
      </c>
      <c r="W28" s="51">
        <v>111</v>
      </c>
      <c r="X28" s="41"/>
      <c r="Y28" s="4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</row>
    <row r="29" spans="1:53" s="44" customFormat="1" ht="30">
      <c r="A29" s="50">
        <f>A28+1</f>
        <v>21</v>
      </c>
      <c r="B29" s="38" t="s">
        <v>222</v>
      </c>
      <c r="C29" s="40" t="s">
        <v>158</v>
      </c>
      <c r="D29" s="38" t="s">
        <v>108</v>
      </c>
      <c r="E29" s="40" t="s">
        <v>0</v>
      </c>
      <c r="F29" s="40" t="s">
        <v>172</v>
      </c>
      <c r="G29" s="45">
        <v>27000</v>
      </c>
      <c r="H29" s="45"/>
      <c r="I29" s="47">
        <v>25</v>
      </c>
      <c r="J29" s="47">
        <v>100</v>
      </c>
      <c r="K29" s="47">
        <f>+G29*2.87%</f>
        <v>774.9</v>
      </c>
      <c r="L29" s="47">
        <f>+G29*7.1%</f>
        <v>1916.9999999999998</v>
      </c>
      <c r="M29" s="47">
        <f>+G29*1.1%</f>
        <v>297.00000000000006</v>
      </c>
      <c r="N29" s="47">
        <f>+G29*3.04%</f>
        <v>820.8</v>
      </c>
      <c r="O29" s="47">
        <f>+G29*7.09%</f>
        <v>1914.3000000000002</v>
      </c>
      <c r="P29" s="47"/>
      <c r="Q29" s="47"/>
      <c r="R29" s="47">
        <v>0</v>
      </c>
      <c r="S29" s="47">
        <f>SUM(K29:R29)</f>
        <v>5724</v>
      </c>
      <c r="T29" s="47">
        <f>+K29+N29</f>
        <v>1595.6999999999998</v>
      </c>
      <c r="U29" s="47">
        <f>+L29+M29+O29</f>
        <v>4128.3</v>
      </c>
      <c r="V29" s="47">
        <f t="shared" si="6"/>
        <v>25279.3</v>
      </c>
      <c r="W29" s="51">
        <v>111</v>
      </c>
      <c r="X29" s="41"/>
      <c r="Y29" s="4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</row>
    <row r="30" spans="1:53" s="44" customFormat="1" ht="30">
      <c r="A30" s="50">
        <f>A29+1</f>
        <v>22</v>
      </c>
      <c r="B30" s="38" t="s">
        <v>258</v>
      </c>
      <c r="C30" s="40" t="s">
        <v>158</v>
      </c>
      <c r="D30" s="38" t="s">
        <v>108</v>
      </c>
      <c r="E30" s="40" t="s">
        <v>0</v>
      </c>
      <c r="F30" s="40" t="s">
        <v>172</v>
      </c>
      <c r="G30" s="45">
        <v>30000</v>
      </c>
      <c r="H30" s="45"/>
      <c r="I30" s="47">
        <v>25</v>
      </c>
      <c r="J30" s="47"/>
      <c r="K30" s="47">
        <f>+G30*2.87%</f>
        <v>861</v>
      </c>
      <c r="L30" s="47">
        <f>+G30*7.1%</f>
        <v>2130</v>
      </c>
      <c r="M30" s="47">
        <f>+G30*1.1%</f>
        <v>330.00000000000006</v>
      </c>
      <c r="N30" s="47">
        <f>+G30*3.04%</f>
        <v>912</v>
      </c>
      <c r="O30" s="47">
        <f>+G30*7.09%</f>
        <v>2127</v>
      </c>
      <c r="P30" s="47"/>
      <c r="Q30" s="47"/>
      <c r="R30" s="47">
        <v>0</v>
      </c>
      <c r="S30" s="47">
        <f>SUM(K30:R30)</f>
        <v>6360</v>
      </c>
      <c r="T30" s="47">
        <f>+K30+N30</f>
        <v>1773</v>
      </c>
      <c r="U30" s="47">
        <f>+L30+M30+O30</f>
        <v>4587</v>
      </c>
      <c r="V30" s="47">
        <f>+G30-T30-H30-I30-R30-J30-P30-Q30</f>
        <v>28202</v>
      </c>
      <c r="W30" s="51">
        <v>111</v>
      </c>
      <c r="X30" s="41"/>
      <c r="Y30" s="4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</row>
    <row r="31" spans="1:53" s="44" customFormat="1" ht="30">
      <c r="A31" s="50">
        <f>A30+1</f>
        <v>23</v>
      </c>
      <c r="B31" s="38" t="s">
        <v>259</v>
      </c>
      <c r="C31" s="40" t="s">
        <v>158</v>
      </c>
      <c r="D31" s="38" t="s">
        <v>108</v>
      </c>
      <c r="E31" s="40" t="s">
        <v>0</v>
      </c>
      <c r="F31" s="40" t="s">
        <v>172</v>
      </c>
      <c r="G31" s="45">
        <v>30000</v>
      </c>
      <c r="H31" s="45"/>
      <c r="I31" s="47">
        <v>25</v>
      </c>
      <c r="J31" s="47"/>
      <c r="K31" s="47">
        <f>+G31*2.87%</f>
        <v>861</v>
      </c>
      <c r="L31" s="47">
        <f>+G31*7.1%</f>
        <v>2130</v>
      </c>
      <c r="M31" s="47">
        <f>+G31*1.1%</f>
        <v>330.00000000000006</v>
      </c>
      <c r="N31" s="47">
        <f>+G31*3.04%</f>
        <v>912</v>
      </c>
      <c r="O31" s="47">
        <f>+G31*7.09%</f>
        <v>2127</v>
      </c>
      <c r="P31" s="47"/>
      <c r="Q31" s="47"/>
      <c r="R31" s="47">
        <v>0</v>
      </c>
      <c r="S31" s="47">
        <f>SUM(K31:R31)</f>
        <v>6360</v>
      </c>
      <c r="T31" s="47">
        <f>+K31+N31</f>
        <v>1773</v>
      </c>
      <c r="U31" s="47">
        <f>+L31+M31+O31</f>
        <v>4587</v>
      </c>
      <c r="V31" s="47">
        <f>+G31-T31-H31-I31-R31-J31-P31-Q31</f>
        <v>28202</v>
      </c>
      <c r="W31" s="51">
        <v>111</v>
      </c>
      <c r="X31" s="41"/>
      <c r="Y31" s="4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</row>
    <row r="32" spans="1:53" s="44" customFormat="1" ht="30">
      <c r="A32" s="50">
        <f>A31+1</f>
        <v>24</v>
      </c>
      <c r="B32" s="38" t="s">
        <v>231</v>
      </c>
      <c r="C32" s="40" t="s">
        <v>158</v>
      </c>
      <c r="D32" s="38" t="s">
        <v>127</v>
      </c>
      <c r="E32" s="40" t="s">
        <v>0</v>
      </c>
      <c r="F32" s="40" t="s">
        <v>171</v>
      </c>
      <c r="G32" s="45">
        <v>30000</v>
      </c>
      <c r="H32" s="45">
        <v>0</v>
      </c>
      <c r="I32" s="47">
        <v>25</v>
      </c>
      <c r="J32" s="47">
        <v>100</v>
      </c>
      <c r="K32" s="47">
        <f>+G32*2.87%</f>
        <v>861</v>
      </c>
      <c r="L32" s="47">
        <f>+G32*7.1%</f>
        <v>2130</v>
      </c>
      <c r="M32" s="47">
        <f>+G32*1.1%</f>
        <v>330.00000000000006</v>
      </c>
      <c r="N32" s="47">
        <f>+G32*3.04%</f>
        <v>912</v>
      </c>
      <c r="O32" s="47">
        <f>+G32*7.09%</f>
        <v>2127</v>
      </c>
      <c r="P32" s="47"/>
      <c r="Q32" s="47"/>
      <c r="R32" s="47">
        <v>0</v>
      </c>
      <c r="S32" s="47">
        <f>SUM(K32:R32)</f>
        <v>6360</v>
      </c>
      <c r="T32" s="47">
        <f>+K32+N32</f>
        <v>1773</v>
      </c>
      <c r="U32" s="47">
        <f>+L32+M32+O32</f>
        <v>4587</v>
      </c>
      <c r="V32" s="47">
        <f>+G32-T32-H32-I32-R32-J32-P32-Q32</f>
        <v>28102</v>
      </c>
      <c r="W32" s="51">
        <v>111</v>
      </c>
      <c r="X32" s="41"/>
      <c r="Y32" s="4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53" s="44" customFormat="1" ht="17.25">
      <c r="A33" s="50">
        <f>A32+1</f>
        <v>25</v>
      </c>
      <c r="B33" s="38" t="s">
        <v>30</v>
      </c>
      <c r="C33" s="40" t="s">
        <v>159</v>
      </c>
      <c r="D33" s="38" t="s">
        <v>60</v>
      </c>
      <c r="E33" s="40" t="s">
        <v>0</v>
      </c>
      <c r="F33" s="40" t="s">
        <v>172</v>
      </c>
      <c r="G33" s="45">
        <v>180000</v>
      </c>
      <c r="H33" s="45">
        <v>30717.89</v>
      </c>
      <c r="I33" s="47">
        <v>25</v>
      </c>
      <c r="J33" s="47">
        <v>100</v>
      </c>
      <c r="K33" s="47">
        <f t="shared" si="15"/>
        <v>5166</v>
      </c>
      <c r="L33" s="47">
        <f t="shared" si="16"/>
        <v>12779.999999999998</v>
      </c>
      <c r="M33" s="47">
        <f>65050*1.1%</f>
        <v>715.5500000000001</v>
      </c>
      <c r="N33" s="47">
        <f>162625*3.04%</f>
        <v>4943.8</v>
      </c>
      <c r="O33" s="47">
        <f>162625*7.09%</f>
        <v>11530.112500000001</v>
      </c>
      <c r="P33" s="47"/>
      <c r="Q33" s="47"/>
      <c r="R33" s="47">
        <v>1350.12</v>
      </c>
      <c r="S33" s="47">
        <f t="shared" si="18"/>
        <v>36485.582500000004</v>
      </c>
      <c r="T33" s="47">
        <f t="shared" si="7"/>
        <v>10109.8</v>
      </c>
      <c r="U33" s="47">
        <f t="shared" si="19"/>
        <v>25025.6625</v>
      </c>
      <c r="V33" s="47">
        <f t="shared" si="6"/>
        <v>137697.19</v>
      </c>
      <c r="W33" s="51">
        <v>111</v>
      </c>
      <c r="X33" s="41"/>
      <c r="Y33" s="42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</row>
    <row r="34" spans="1:53" s="44" customFormat="1" ht="17.25">
      <c r="A34" s="50">
        <f t="shared" si="20"/>
        <v>26</v>
      </c>
      <c r="B34" s="38" t="s">
        <v>8</v>
      </c>
      <c r="C34" s="40" t="s">
        <v>159</v>
      </c>
      <c r="D34" s="38" t="s">
        <v>62</v>
      </c>
      <c r="E34" s="40" t="s">
        <v>0</v>
      </c>
      <c r="F34" s="40" t="s">
        <v>172</v>
      </c>
      <c r="G34" s="45">
        <v>45000</v>
      </c>
      <c r="H34" s="45">
        <v>0</v>
      </c>
      <c r="I34" s="47">
        <v>25</v>
      </c>
      <c r="J34" s="47">
        <v>100</v>
      </c>
      <c r="K34" s="47">
        <f t="shared" si="15"/>
        <v>1291.5</v>
      </c>
      <c r="L34" s="47">
        <f t="shared" si="16"/>
        <v>3194.9999999999995</v>
      </c>
      <c r="M34" s="47">
        <f>+G34*1.1%</f>
        <v>495.00000000000006</v>
      </c>
      <c r="N34" s="47">
        <f aca="true" t="shared" si="21" ref="N34:N48">+G34*3.04%</f>
        <v>1368</v>
      </c>
      <c r="O34" s="47">
        <f aca="true" t="shared" si="22" ref="O34:O48">+G34*7.09%</f>
        <v>3190.5</v>
      </c>
      <c r="P34" s="47"/>
      <c r="Q34" s="47"/>
      <c r="R34" s="47">
        <v>0</v>
      </c>
      <c r="S34" s="47">
        <f t="shared" si="18"/>
        <v>9540</v>
      </c>
      <c r="T34" s="47">
        <f t="shared" si="7"/>
        <v>2659.5</v>
      </c>
      <c r="U34" s="47">
        <f t="shared" si="19"/>
        <v>6880.5</v>
      </c>
      <c r="V34" s="47">
        <f t="shared" si="6"/>
        <v>42215.5</v>
      </c>
      <c r="W34" s="51">
        <v>111</v>
      </c>
      <c r="X34" s="41"/>
      <c r="Y34" s="4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</row>
    <row r="35" spans="1:53" s="44" customFormat="1" ht="17.25">
      <c r="A35" s="50">
        <f t="shared" si="20"/>
        <v>27</v>
      </c>
      <c r="B35" s="38" t="s">
        <v>2</v>
      </c>
      <c r="C35" s="40" t="s">
        <v>159</v>
      </c>
      <c r="D35" s="38" t="s">
        <v>61</v>
      </c>
      <c r="E35" s="40" t="s">
        <v>0</v>
      </c>
      <c r="F35" s="40" t="s">
        <v>171</v>
      </c>
      <c r="G35" s="45">
        <v>123250</v>
      </c>
      <c r="H35" s="45">
        <v>17236.82</v>
      </c>
      <c r="I35" s="47">
        <v>25</v>
      </c>
      <c r="J35" s="47">
        <v>100</v>
      </c>
      <c r="K35" s="47">
        <f t="shared" si="15"/>
        <v>3537.275</v>
      </c>
      <c r="L35" s="47">
        <f t="shared" si="16"/>
        <v>8750.75</v>
      </c>
      <c r="M35" s="47">
        <f>65050*1.1%</f>
        <v>715.5500000000001</v>
      </c>
      <c r="N35" s="47">
        <f t="shared" si="21"/>
        <v>3746.8</v>
      </c>
      <c r="O35" s="47">
        <f t="shared" si="22"/>
        <v>8738.425000000001</v>
      </c>
      <c r="P35" s="47"/>
      <c r="Q35" s="47"/>
      <c r="R35" s="47">
        <v>1350.12</v>
      </c>
      <c r="S35" s="47">
        <f t="shared" si="18"/>
        <v>26838.920000000002</v>
      </c>
      <c r="T35" s="47">
        <f t="shared" si="7"/>
        <v>7284.075000000001</v>
      </c>
      <c r="U35" s="47">
        <f t="shared" si="19"/>
        <v>18204.725</v>
      </c>
      <c r="V35" s="47">
        <f t="shared" si="6"/>
        <v>97253.98500000002</v>
      </c>
      <c r="W35" s="51">
        <v>111</v>
      </c>
      <c r="X35" s="41"/>
      <c r="Y35" s="42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</row>
    <row r="36" spans="1:53" s="44" customFormat="1" ht="30">
      <c r="A36" s="50">
        <f t="shared" si="20"/>
        <v>28</v>
      </c>
      <c r="B36" s="38" t="s">
        <v>21</v>
      </c>
      <c r="C36" s="40" t="s">
        <v>159</v>
      </c>
      <c r="D36" s="38" t="s">
        <v>46</v>
      </c>
      <c r="E36" s="40" t="s">
        <v>0</v>
      </c>
      <c r="F36" s="40" t="s">
        <v>172</v>
      </c>
      <c r="G36" s="45">
        <v>84875.16</v>
      </c>
      <c r="H36" s="45">
        <v>8210.1</v>
      </c>
      <c r="I36" s="47">
        <v>25</v>
      </c>
      <c r="J36" s="47">
        <v>100</v>
      </c>
      <c r="K36" s="47">
        <f t="shared" si="15"/>
        <v>2435.917092</v>
      </c>
      <c r="L36" s="47">
        <f t="shared" si="16"/>
        <v>6026.1363599999995</v>
      </c>
      <c r="M36" s="47">
        <f>65050*1.1%</f>
        <v>715.5500000000001</v>
      </c>
      <c r="N36" s="47">
        <f t="shared" si="21"/>
        <v>2580.2048640000003</v>
      </c>
      <c r="O36" s="47">
        <f t="shared" si="22"/>
        <v>6017.648844</v>
      </c>
      <c r="P36" s="47"/>
      <c r="Q36" s="47"/>
      <c r="R36" s="47">
        <v>1350.12</v>
      </c>
      <c r="S36" s="47">
        <f t="shared" si="18"/>
        <v>19125.577159999997</v>
      </c>
      <c r="T36" s="47">
        <f t="shared" si="7"/>
        <v>5016.121956000001</v>
      </c>
      <c r="U36" s="47">
        <f t="shared" si="19"/>
        <v>12759.335203999999</v>
      </c>
      <c r="V36" s="47">
        <f t="shared" si="6"/>
        <v>70173.818044</v>
      </c>
      <c r="W36" s="51">
        <v>111</v>
      </c>
      <c r="X36" s="41"/>
      <c r="Y36" s="4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</row>
    <row r="37" spans="1:53" s="44" customFormat="1" ht="45">
      <c r="A37" s="50">
        <f t="shared" si="20"/>
        <v>29</v>
      </c>
      <c r="B37" s="38" t="s">
        <v>71</v>
      </c>
      <c r="C37" s="40" t="s">
        <v>160</v>
      </c>
      <c r="D37" s="38" t="s">
        <v>44</v>
      </c>
      <c r="E37" s="40" t="s">
        <v>0</v>
      </c>
      <c r="F37" s="40" t="s">
        <v>172</v>
      </c>
      <c r="G37" s="45">
        <v>65966.28</v>
      </c>
      <c r="H37" s="45">
        <v>4069.36</v>
      </c>
      <c r="I37" s="47">
        <v>25</v>
      </c>
      <c r="J37" s="47">
        <v>100</v>
      </c>
      <c r="K37" s="47">
        <f t="shared" si="15"/>
        <v>1893.232236</v>
      </c>
      <c r="L37" s="47">
        <f t="shared" si="16"/>
        <v>4683.605879999999</v>
      </c>
      <c r="M37" s="47">
        <f>65050*1.1%</f>
        <v>715.5500000000001</v>
      </c>
      <c r="N37" s="47">
        <f t="shared" si="21"/>
        <v>2005.374912</v>
      </c>
      <c r="O37" s="47">
        <f t="shared" si="22"/>
        <v>4677.009252</v>
      </c>
      <c r="P37" s="47"/>
      <c r="Q37" s="47"/>
      <c r="R37" s="47">
        <v>2700.24</v>
      </c>
      <c r="S37" s="47">
        <f t="shared" si="18"/>
        <v>16675.01228</v>
      </c>
      <c r="T37" s="47">
        <f t="shared" si="7"/>
        <v>3898.607148</v>
      </c>
      <c r="U37" s="47">
        <f t="shared" si="19"/>
        <v>10076.165131999998</v>
      </c>
      <c r="V37" s="47">
        <f t="shared" si="6"/>
        <v>55173.072852</v>
      </c>
      <c r="W37" s="51">
        <v>111</v>
      </c>
      <c r="X37" s="41"/>
      <c r="Y37" s="4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</row>
    <row r="38" spans="1:53" s="44" customFormat="1" ht="45">
      <c r="A38" s="50">
        <f t="shared" si="20"/>
        <v>30</v>
      </c>
      <c r="B38" s="38" t="s">
        <v>126</v>
      </c>
      <c r="C38" s="40" t="s">
        <v>160</v>
      </c>
      <c r="D38" s="38" t="s">
        <v>127</v>
      </c>
      <c r="E38" s="40" t="s">
        <v>167</v>
      </c>
      <c r="F38" s="40" t="s">
        <v>172</v>
      </c>
      <c r="G38" s="45">
        <v>35000</v>
      </c>
      <c r="H38" s="45"/>
      <c r="I38" s="47">
        <v>25</v>
      </c>
      <c r="J38" s="47">
        <v>100</v>
      </c>
      <c r="K38" s="47">
        <f t="shared" si="15"/>
        <v>1004.5</v>
      </c>
      <c r="L38" s="47">
        <f t="shared" si="16"/>
        <v>2485</v>
      </c>
      <c r="M38" s="47">
        <f aca="true" t="shared" si="23" ref="M38:M48">+G38*1.1%</f>
        <v>385.00000000000006</v>
      </c>
      <c r="N38" s="47">
        <f t="shared" si="21"/>
        <v>1064</v>
      </c>
      <c r="O38" s="47">
        <f t="shared" si="22"/>
        <v>2481.5</v>
      </c>
      <c r="P38" s="47"/>
      <c r="Q38" s="47">
        <v>1025</v>
      </c>
      <c r="R38" s="47"/>
      <c r="S38" s="47">
        <f aca="true" t="shared" si="24" ref="S38:S45">SUM(K38:R38)</f>
        <v>8445</v>
      </c>
      <c r="T38" s="47">
        <f t="shared" si="7"/>
        <v>2068.5</v>
      </c>
      <c r="U38" s="47">
        <f t="shared" si="19"/>
        <v>5351.5</v>
      </c>
      <c r="V38" s="47">
        <f t="shared" si="6"/>
        <v>31781.5</v>
      </c>
      <c r="W38" s="51">
        <v>111</v>
      </c>
      <c r="X38" s="41"/>
      <c r="Y38" s="42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45">
      <c r="A39" s="50">
        <f t="shared" si="20"/>
        <v>31</v>
      </c>
      <c r="B39" s="38" t="s">
        <v>74</v>
      </c>
      <c r="C39" s="40" t="s">
        <v>160</v>
      </c>
      <c r="D39" s="38" t="s">
        <v>59</v>
      </c>
      <c r="E39" s="40" t="s">
        <v>167</v>
      </c>
      <c r="F39" s="40" t="s">
        <v>172</v>
      </c>
      <c r="G39" s="45">
        <v>22000</v>
      </c>
      <c r="H39" s="45"/>
      <c r="I39" s="47">
        <v>25</v>
      </c>
      <c r="J39" s="47">
        <v>100</v>
      </c>
      <c r="K39" s="47">
        <f>+G39*2.87%</f>
        <v>631.4</v>
      </c>
      <c r="L39" s="47">
        <f>+G39*7.1%</f>
        <v>1561.9999999999998</v>
      </c>
      <c r="M39" s="47">
        <f>+G39*1.1%</f>
        <v>242.00000000000003</v>
      </c>
      <c r="N39" s="47">
        <f>+G39*3.04%</f>
        <v>668.8</v>
      </c>
      <c r="O39" s="47">
        <f>+G39*7.09%</f>
        <v>1559.8000000000002</v>
      </c>
      <c r="P39" s="47"/>
      <c r="Q39" s="47">
        <v>1665.46</v>
      </c>
      <c r="R39" s="47">
        <v>1350.12</v>
      </c>
      <c r="S39" s="47">
        <f>SUM(K39:R39)</f>
        <v>7679.58</v>
      </c>
      <c r="T39" s="47">
        <f aca="true" t="shared" si="25" ref="T39:T48">+K39+N39</f>
        <v>1300.1999999999998</v>
      </c>
      <c r="U39" s="47">
        <f>+L39+M39+O39</f>
        <v>3363.8</v>
      </c>
      <c r="V39" s="47">
        <f t="shared" si="6"/>
        <v>17559.22</v>
      </c>
      <c r="W39" s="51">
        <v>111</v>
      </c>
      <c r="X39" s="41"/>
      <c r="Y39" s="42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45">
      <c r="A40" s="50">
        <f t="shared" si="20"/>
        <v>32</v>
      </c>
      <c r="B40" s="38" t="s">
        <v>242</v>
      </c>
      <c r="C40" s="40" t="s">
        <v>160</v>
      </c>
      <c r="D40" s="38" t="s">
        <v>59</v>
      </c>
      <c r="E40" s="40" t="s">
        <v>167</v>
      </c>
      <c r="F40" s="40" t="s">
        <v>172</v>
      </c>
      <c r="G40" s="45">
        <v>25000</v>
      </c>
      <c r="H40" s="45"/>
      <c r="I40" s="47">
        <v>25</v>
      </c>
      <c r="J40" s="47">
        <v>100</v>
      </c>
      <c r="K40" s="47">
        <f>+G40*2.87%</f>
        <v>717.5</v>
      </c>
      <c r="L40" s="47">
        <f>+G40*7.1%</f>
        <v>1774.9999999999998</v>
      </c>
      <c r="M40" s="47">
        <f>+G40*1.1%</f>
        <v>275</v>
      </c>
      <c r="N40" s="47">
        <f>+G40*3.04%</f>
        <v>760</v>
      </c>
      <c r="O40" s="47">
        <f>+G40*7.09%</f>
        <v>1772.5000000000002</v>
      </c>
      <c r="P40" s="47"/>
      <c r="Q40" s="47"/>
      <c r="R40" s="47"/>
      <c r="S40" s="47">
        <f>SUM(K40:R40)</f>
        <v>5300</v>
      </c>
      <c r="T40" s="47">
        <f t="shared" si="25"/>
        <v>1477.5</v>
      </c>
      <c r="U40" s="47">
        <f>+L40+M40+O40</f>
        <v>3822.5</v>
      </c>
      <c r="V40" s="47">
        <f t="shared" si="6"/>
        <v>23397.5</v>
      </c>
      <c r="W40" s="51">
        <v>111</v>
      </c>
      <c r="X40" s="41"/>
      <c r="Y40" s="42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44" customFormat="1" ht="45">
      <c r="A41" s="50">
        <f>A40+1</f>
        <v>33</v>
      </c>
      <c r="B41" s="38" t="s">
        <v>109</v>
      </c>
      <c r="C41" s="40" t="s">
        <v>160</v>
      </c>
      <c r="D41" s="38" t="s">
        <v>110</v>
      </c>
      <c r="E41" s="40" t="s">
        <v>167</v>
      </c>
      <c r="F41" s="40" t="s">
        <v>172</v>
      </c>
      <c r="G41" s="45">
        <v>33000</v>
      </c>
      <c r="H41" s="45"/>
      <c r="I41" s="47">
        <v>25</v>
      </c>
      <c r="J41" s="47">
        <v>100</v>
      </c>
      <c r="K41" s="47">
        <f t="shared" si="15"/>
        <v>947.1</v>
      </c>
      <c r="L41" s="47">
        <f t="shared" si="16"/>
        <v>2343</v>
      </c>
      <c r="M41" s="47">
        <f t="shared" si="23"/>
        <v>363.00000000000006</v>
      </c>
      <c r="N41" s="47">
        <f t="shared" si="21"/>
        <v>1003.2</v>
      </c>
      <c r="O41" s="47">
        <f t="shared" si="22"/>
        <v>2339.7000000000003</v>
      </c>
      <c r="P41" s="47"/>
      <c r="Q41" s="47"/>
      <c r="R41" s="47"/>
      <c r="S41" s="47">
        <f t="shared" si="24"/>
        <v>6996</v>
      </c>
      <c r="T41" s="47">
        <f t="shared" si="25"/>
        <v>1950.3000000000002</v>
      </c>
      <c r="U41" s="47">
        <f t="shared" si="19"/>
        <v>5045.700000000001</v>
      </c>
      <c r="V41" s="47">
        <f t="shared" si="6"/>
        <v>30924.7</v>
      </c>
      <c r="W41" s="51">
        <v>111</v>
      </c>
      <c r="X41" s="41"/>
      <c r="Y41" s="42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</row>
    <row r="42" spans="1:53" s="44" customFormat="1" ht="45">
      <c r="A42" s="50">
        <f t="shared" si="20"/>
        <v>34</v>
      </c>
      <c r="B42" s="38" t="s">
        <v>111</v>
      </c>
      <c r="C42" s="40" t="s">
        <v>160</v>
      </c>
      <c r="D42" s="38" t="s">
        <v>110</v>
      </c>
      <c r="E42" s="40" t="s">
        <v>167</v>
      </c>
      <c r="F42" s="40" t="s">
        <v>172</v>
      </c>
      <c r="G42" s="45">
        <v>33000</v>
      </c>
      <c r="H42" s="45"/>
      <c r="I42" s="47">
        <v>25</v>
      </c>
      <c r="J42" s="47">
        <v>100</v>
      </c>
      <c r="K42" s="47">
        <f t="shared" si="15"/>
        <v>947.1</v>
      </c>
      <c r="L42" s="47">
        <f t="shared" si="16"/>
        <v>2343</v>
      </c>
      <c r="M42" s="47">
        <f t="shared" si="23"/>
        <v>363.00000000000006</v>
      </c>
      <c r="N42" s="47">
        <f t="shared" si="21"/>
        <v>1003.2</v>
      </c>
      <c r="O42" s="47">
        <f t="shared" si="22"/>
        <v>2339.7000000000003</v>
      </c>
      <c r="P42" s="47"/>
      <c r="Q42" s="47"/>
      <c r="R42" s="47"/>
      <c r="S42" s="47">
        <f t="shared" si="24"/>
        <v>6996</v>
      </c>
      <c r="T42" s="47">
        <f t="shared" si="25"/>
        <v>1950.3000000000002</v>
      </c>
      <c r="U42" s="47">
        <f t="shared" si="19"/>
        <v>5045.700000000001</v>
      </c>
      <c r="V42" s="47">
        <f t="shared" si="6"/>
        <v>30924.7</v>
      </c>
      <c r="W42" s="51">
        <v>111</v>
      </c>
      <c r="X42" s="41"/>
      <c r="Y42" s="42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</row>
    <row r="43" spans="1:53" s="44" customFormat="1" ht="45">
      <c r="A43" s="50">
        <f t="shared" si="20"/>
        <v>35</v>
      </c>
      <c r="B43" s="38" t="s">
        <v>112</v>
      </c>
      <c r="C43" s="40" t="s">
        <v>160</v>
      </c>
      <c r="D43" s="38" t="s">
        <v>113</v>
      </c>
      <c r="E43" s="40" t="s">
        <v>167</v>
      </c>
      <c r="F43" s="40" t="s">
        <v>171</v>
      </c>
      <c r="G43" s="45">
        <v>26250</v>
      </c>
      <c r="H43" s="45"/>
      <c r="I43" s="47">
        <v>25</v>
      </c>
      <c r="J43" s="47">
        <v>100</v>
      </c>
      <c r="K43" s="47">
        <f t="shared" si="15"/>
        <v>753.375</v>
      </c>
      <c r="L43" s="47">
        <f t="shared" si="16"/>
        <v>1863.7499999999998</v>
      </c>
      <c r="M43" s="47">
        <f t="shared" si="23"/>
        <v>288.75000000000006</v>
      </c>
      <c r="N43" s="47">
        <f t="shared" si="21"/>
        <v>798</v>
      </c>
      <c r="O43" s="47">
        <f t="shared" si="22"/>
        <v>1861.1250000000002</v>
      </c>
      <c r="P43" s="47"/>
      <c r="Q43" s="47"/>
      <c r="R43" s="47"/>
      <c r="S43" s="47">
        <f t="shared" si="24"/>
        <v>5565</v>
      </c>
      <c r="T43" s="47">
        <f t="shared" si="25"/>
        <v>1551.375</v>
      </c>
      <c r="U43" s="47">
        <f t="shared" si="19"/>
        <v>4013.625</v>
      </c>
      <c r="V43" s="47">
        <f t="shared" si="6"/>
        <v>24573.625</v>
      </c>
      <c r="W43" s="51">
        <v>111</v>
      </c>
      <c r="X43" s="41"/>
      <c r="Y43" s="42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</row>
    <row r="44" spans="1:53" s="44" customFormat="1" ht="30">
      <c r="A44" s="50">
        <f t="shared" si="20"/>
        <v>36</v>
      </c>
      <c r="B44" s="38" t="s">
        <v>1</v>
      </c>
      <c r="C44" s="40" t="s">
        <v>161</v>
      </c>
      <c r="D44" s="38" t="s">
        <v>82</v>
      </c>
      <c r="E44" s="40" t="s">
        <v>0</v>
      </c>
      <c r="F44" s="40" t="s">
        <v>172</v>
      </c>
      <c r="G44" s="45">
        <v>52000</v>
      </c>
      <c r="H44" s="45">
        <v>2136.27</v>
      </c>
      <c r="I44" s="47">
        <v>25</v>
      </c>
      <c r="J44" s="47">
        <v>100</v>
      </c>
      <c r="K44" s="47">
        <f t="shared" si="15"/>
        <v>1492.4</v>
      </c>
      <c r="L44" s="47">
        <f t="shared" si="16"/>
        <v>3691.9999999999995</v>
      </c>
      <c r="M44" s="47">
        <f t="shared" si="23"/>
        <v>572.0000000000001</v>
      </c>
      <c r="N44" s="47">
        <f t="shared" si="21"/>
        <v>1580.8</v>
      </c>
      <c r="O44" s="47">
        <f t="shared" si="22"/>
        <v>3686.8</v>
      </c>
      <c r="P44" s="47"/>
      <c r="Q44" s="47"/>
      <c r="R44" s="47">
        <v>0</v>
      </c>
      <c r="S44" s="47">
        <f t="shared" si="24"/>
        <v>11024</v>
      </c>
      <c r="T44" s="47">
        <f t="shared" si="25"/>
        <v>3073.2</v>
      </c>
      <c r="U44" s="47">
        <f t="shared" si="19"/>
        <v>7950.8</v>
      </c>
      <c r="V44" s="47">
        <f t="shared" si="6"/>
        <v>46665.530000000006</v>
      </c>
      <c r="W44" s="51">
        <v>111</v>
      </c>
      <c r="X44" s="41"/>
      <c r="Y44" s="42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</row>
    <row r="45" spans="1:53" s="44" customFormat="1" ht="30">
      <c r="A45" s="50">
        <f t="shared" si="20"/>
        <v>37</v>
      </c>
      <c r="B45" s="38" t="s">
        <v>32</v>
      </c>
      <c r="C45" s="40" t="s">
        <v>161</v>
      </c>
      <c r="D45" s="38" t="s">
        <v>82</v>
      </c>
      <c r="E45" s="40" t="s">
        <v>0</v>
      </c>
      <c r="F45" s="40" t="s">
        <v>172</v>
      </c>
      <c r="G45" s="45">
        <v>52000</v>
      </c>
      <c r="H45" s="45">
        <v>1933.75</v>
      </c>
      <c r="I45" s="47">
        <v>25</v>
      </c>
      <c r="J45" s="47">
        <v>100</v>
      </c>
      <c r="K45" s="47">
        <f t="shared" si="15"/>
        <v>1492.4</v>
      </c>
      <c r="L45" s="47">
        <f t="shared" si="16"/>
        <v>3691.9999999999995</v>
      </c>
      <c r="M45" s="47">
        <f t="shared" si="23"/>
        <v>572.0000000000001</v>
      </c>
      <c r="N45" s="47">
        <f t="shared" si="21"/>
        <v>1580.8</v>
      </c>
      <c r="O45" s="47">
        <f t="shared" si="22"/>
        <v>3686.8</v>
      </c>
      <c r="P45" s="47"/>
      <c r="Q45" s="47">
        <v>2725</v>
      </c>
      <c r="R45" s="47">
        <v>1350.12</v>
      </c>
      <c r="S45" s="47">
        <f t="shared" si="24"/>
        <v>15099.119999999999</v>
      </c>
      <c r="T45" s="47">
        <f t="shared" si="25"/>
        <v>3073.2</v>
      </c>
      <c r="U45" s="47">
        <f t="shared" si="19"/>
        <v>7950.8</v>
      </c>
      <c r="V45" s="47">
        <f t="shared" si="6"/>
        <v>42792.93</v>
      </c>
      <c r="W45" s="51">
        <v>111</v>
      </c>
      <c r="X45" s="41"/>
      <c r="Y45" s="42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</row>
    <row r="46" spans="1:53" s="44" customFormat="1" ht="45">
      <c r="A46" s="50">
        <f t="shared" si="20"/>
        <v>38</v>
      </c>
      <c r="B46" s="38" t="s">
        <v>139</v>
      </c>
      <c r="C46" s="40" t="s">
        <v>162</v>
      </c>
      <c r="D46" s="38" t="s">
        <v>138</v>
      </c>
      <c r="E46" s="40" t="s">
        <v>167</v>
      </c>
      <c r="F46" s="40" t="s">
        <v>171</v>
      </c>
      <c r="G46" s="47">
        <v>19000</v>
      </c>
      <c r="H46" s="45">
        <v>0</v>
      </c>
      <c r="I46" s="47">
        <v>25</v>
      </c>
      <c r="J46" s="47">
        <v>100</v>
      </c>
      <c r="K46" s="47">
        <f t="shared" si="15"/>
        <v>545.3</v>
      </c>
      <c r="L46" s="47">
        <f t="shared" si="16"/>
        <v>1348.9999999999998</v>
      </c>
      <c r="M46" s="47">
        <f t="shared" si="23"/>
        <v>209.00000000000003</v>
      </c>
      <c r="N46" s="47">
        <f t="shared" si="21"/>
        <v>577.6</v>
      </c>
      <c r="O46" s="47">
        <f t="shared" si="22"/>
        <v>1347.1000000000001</v>
      </c>
      <c r="P46" s="47"/>
      <c r="Q46" s="47">
        <v>798.75</v>
      </c>
      <c r="R46" s="47">
        <v>0</v>
      </c>
      <c r="S46" s="49">
        <f>SUM(K46:R46)</f>
        <v>4826.75</v>
      </c>
      <c r="T46" s="47">
        <f t="shared" si="25"/>
        <v>1122.9</v>
      </c>
      <c r="U46" s="47">
        <f t="shared" si="19"/>
        <v>2905.1</v>
      </c>
      <c r="V46" s="47">
        <f t="shared" si="6"/>
        <v>16953.35</v>
      </c>
      <c r="W46" s="51">
        <v>111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</row>
    <row r="47" spans="1:53" s="44" customFormat="1" ht="45">
      <c r="A47" s="50">
        <f t="shared" si="20"/>
        <v>39</v>
      </c>
      <c r="B47" s="38" t="s">
        <v>141</v>
      </c>
      <c r="C47" s="40" t="s">
        <v>162</v>
      </c>
      <c r="D47" s="38" t="s">
        <v>142</v>
      </c>
      <c r="E47" s="40" t="s">
        <v>167</v>
      </c>
      <c r="F47" s="40" t="s">
        <v>172</v>
      </c>
      <c r="G47" s="47">
        <v>23000</v>
      </c>
      <c r="H47" s="45">
        <v>0</v>
      </c>
      <c r="I47" s="47">
        <v>25</v>
      </c>
      <c r="J47" s="47"/>
      <c r="K47" s="47">
        <f t="shared" si="15"/>
        <v>660.1</v>
      </c>
      <c r="L47" s="47">
        <f t="shared" si="16"/>
        <v>1632.9999999999998</v>
      </c>
      <c r="M47" s="47">
        <f t="shared" si="23"/>
        <v>253.00000000000003</v>
      </c>
      <c r="N47" s="47">
        <f t="shared" si="21"/>
        <v>699.2</v>
      </c>
      <c r="O47" s="47">
        <f t="shared" si="22"/>
        <v>1630.7</v>
      </c>
      <c r="P47" s="47"/>
      <c r="Q47" s="47"/>
      <c r="R47" s="47">
        <v>0</v>
      </c>
      <c r="S47" s="49">
        <f>SUM(K47:R47)</f>
        <v>4876</v>
      </c>
      <c r="T47" s="47">
        <f t="shared" si="25"/>
        <v>1359.3000000000002</v>
      </c>
      <c r="U47" s="47">
        <f t="shared" si="19"/>
        <v>3516.7</v>
      </c>
      <c r="V47" s="47">
        <f t="shared" si="6"/>
        <v>21615.7</v>
      </c>
      <c r="W47" s="51">
        <v>111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44" customFormat="1" ht="45">
      <c r="A48" s="50">
        <f t="shared" si="20"/>
        <v>40</v>
      </c>
      <c r="B48" s="38" t="s">
        <v>145</v>
      </c>
      <c r="C48" s="40" t="s">
        <v>162</v>
      </c>
      <c r="D48" s="38" t="s">
        <v>142</v>
      </c>
      <c r="E48" s="40" t="s">
        <v>167</v>
      </c>
      <c r="F48" s="40" t="s">
        <v>172</v>
      </c>
      <c r="G48" s="47">
        <v>16000</v>
      </c>
      <c r="H48" s="45">
        <v>0</v>
      </c>
      <c r="I48" s="47">
        <v>25</v>
      </c>
      <c r="J48" s="47">
        <v>100</v>
      </c>
      <c r="K48" s="47">
        <f t="shared" si="15"/>
        <v>459.2</v>
      </c>
      <c r="L48" s="47">
        <f t="shared" si="16"/>
        <v>1136</v>
      </c>
      <c r="M48" s="47">
        <f t="shared" si="23"/>
        <v>176.00000000000003</v>
      </c>
      <c r="N48" s="47">
        <f t="shared" si="21"/>
        <v>486.4</v>
      </c>
      <c r="O48" s="47">
        <f t="shared" si="22"/>
        <v>1134.4</v>
      </c>
      <c r="P48" s="47"/>
      <c r="Q48" s="47"/>
      <c r="R48" s="47">
        <v>0</v>
      </c>
      <c r="S48" s="49">
        <f>SUM(K48:R48)</f>
        <v>3392</v>
      </c>
      <c r="T48" s="47">
        <f t="shared" si="25"/>
        <v>945.5999999999999</v>
      </c>
      <c r="U48" s="47">
        <f t="shared" si="19"/>
        <v>2446.4</v>
      </c>
      <c r="V48" s="47">
        <f t="shared" si="6"/>
        <v>14929.4</v>
      </c>
      <c r="W48" s="51">
        <v>111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</row>
    <row r="49" spans="1:53" s="44" customFormat="1" ht="45">
      <c r="A49" s="50">
        <f>A48+1</f>
        <v>41</v>
      </c>
      <c r="B49" s="38" t="s">
        <v>260</v>
      </c>
      <c r="C49" s="40" t="s">
        <v>162</v>
      </c>
      <c r="D49" s="38" t="s">
        <v>138</v>
      </c>
      <c r="E49" s="40" t="s">
        <v>167</v>
      </c>
      <c r="F49" s="40" t="s">
        <v>172</v>
      </c>
      <c r="G49" s="47">
        <v>18000</v>
      </c>
      <c r="H49" s="45">
        <v>0</v>
      </c>
      <c r="I49" s="47">
        <v>25</v>
      </c>
      <c r="J49" s="47"/>
      <c r="K49" s="47">
        <f>+G49*2.87%</f>
        <v>516.6</v>
      </c>
      <c r="L49" s="47">
        <f>+G49*7.1%</f>
        <v>1277.9999999999998</v>
      </c>
      <c r="M49" s="47">
        <f>+G49*1.1%</f>
        <v>198.00000000000003</v>
      </c>
      <c r="N49" s="47">
        <f>+G49*3.04%</f>
        <v>547.2</v>
      </c>
      <c r="O49" s="47">
        <f>+G49*7.09%</f>
        <v>1276.2</v>
      </c>
      <c r="P49" s="47"/>
      <c r="Q49" s="47"/>
      <c r="R49" s="47">
        <v>0</v>
      </c>
      <c r="S49" s="49">
        <f>SUM(K49:R49)</f>
        <v>3816</v>
      </c>
      <c r="T49" s="47">
        <f>+K49+N49</f>
        <v>1063.8000000000002</v>
      </c>
      <c r="U49" s="47">
        <f>+L49+M49+O49</f>
        <v>2752.2</v>
      </c>
      <c r="V49" s="47">
        <f>+G49-T49-H49-I49-R49-J49-P49-Q49</f>
        <v>16911.2</v>
      </c>
      <c r="W49" s="51">
        <v>111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44" customFormat="1" ht="30">
      <c r="A50" s="50">
        <f>A49+1</f>
        <v>42</v>
      </c>
      <c r="B50" s="38" t="s">
        <v>25</v>
      </c>
      <c r="C50" s="40" t="s">
        <v>163</v>
      </c>
      <c r="D50" s="38" t="s">
        <v>52</v>
      </c>
      <c r="E50" s="40" t="s">
        <v>0</v>
      </c>
      <c r="F50" s="40" t="s">
        <v>171</v>
      </c>
      <c r="G50" s="45">
        <v>50629.12</v>
      </c>
      <c r="H50" s="45">
        <v>1942.79</v>
      </c>
      <c r="I50" s="47">
        <v>25</v>
      </c>
      <c r="J50" s="47">
        <v>100</v>
      </c>
      <c r="K50" s="47">
        <f aca="true" t="shared" si="26" ref="K50:K63">+G50*2.87%</f>
        <v>1453.055744</v>
      </c>
      <c r="L50" s="47">
        <f aca="true" t="shared" si="27" ref="L50:L63">+G50*7.1%</f>
        <v>3594.66752</v>
      </c>
      <c r="M50" s="47">
        <f aca="true" t="shared" si="28" ref="M50:M63">+G50*1.1%</f>
        <v>556.9203200000001</v>
      </c>
      <c r="N50" s="47">
        <f aca="true" t="shared" si="29" ref="N50:N63">+G50*3.04%</f>
        <v>1539.125248</v>
      </c>
      <c r="O50" s="47">
        <f aca="true" t="shared" si="30" ref="O50:O63">+G50*7.09%</f>
        <v>3589.6046080000006</v>
      </c>
      <c r="P50" s="47"/>
      <c r="Q50" s="47"/>
      <c r="R50" s="47">
        <v>0</v>
      </c>
      <c r="S50" s="47">
        <f aca="true" t="shared" si="31" ref="S50:S63">SUM(K50:R50)</f>
        <v>10733.373440000001</v>
      </c>
      <c r="T50" s="47">
        <f aca="true" t="shared" si="32" ref="T50:T63">+K50+N50</f>
        <v>2992.180992</v>
      </c>
      <c r="U50" s="47">
        <f aca="true" t="shared" si="33" ref="U50:U63">+L50+M50+O50</f>
        <v>7741.192448000001</v>
      </c>
      <c r="V50" s="47">
        <f t="shared" si="6"/>
        <v>45569.149008</v>
      </c>
      <c r="W50" s="51">
        <v>111</v>
      </c>
      <c r="X50" s="41"/>
      <c r="Y50" s="42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</row>
    <row r="51" spans="1:53" s="44" customFormat="1" ht="30">
      <c r="A51" s="50">
        <f aca="true" t="shared" si="34" ref="A51:A59">A50+1</f>
        <v>43</v>
      </c>
      <c r="B51" s="38" t="s">
        <v>92</v>
      </c>
      <c r="C51" s="40" t="s">
        <v>163</v>
      </c>
      <c r="D51" s="38" t="s">
        <v>93</v>
      </c>
      <c r="E51" s="40" t="s">
        <v>167</v>
      </c>
      <c r="F51" s="40" t="s">
        <v>172</v>
      </c>
      <c r="G51" s="45">
        <v>35000</v>
      </c>
      <c r="H51" s="45">
        <v>0</v>
      </c>
      <c r="I51" s="47">
        <v>25</v>
      </c>
      <c r="J51" s="47">
        <v>100</v>
      </c>
      <c r="K51" s="47">
        <f>+G51*2.87%</f>
        <v>1004.5</v>
      </c>
      <c r="L51" s="47">
        <f>+G51*7.1%</f>
        <v>2485</v>
      </c>
      <c r="M51" s="47">
        <f t="shared" si="28"/>
        <v>385.00000000000006</v>
      </c>
      <c r="N51" s="47">
        <f>+G51*3.04%</f>
        <v>1064</v>
      </c>
      <c r="O51" s="47">
        <f t="shared" si="30"/>
        <v>2481.5</v>
      </c>
      <c r="P51" s="47"/>
      <c r="Q51" s="47"/>
      <c r="R51" s="47">
        <v>0</v>
      </c>
      <c r="S51" s="47">
        <f t="shared" si="31"/>
        <v>7420</v>
      </c>
      <c r="T51" s="47">
        <f t="shared" si="32"/>
        <v>2068.5</v>
      </c>
      <c r="U51" s="47">
        <f>+L51+M51+O51</f>
        <v>5351.5</v>
      </c>
      <c r="V51" s="47">
        <f t="shared" si="6"/>
        <v>32806.5</v>
      </c>
      <c r="W51" s="51">
        <v>111</v>
      </c>
      <c r="X51" s="41"/>
      <c r="Y51" s="42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</row>
    <row r="52" spans="1:53" s="44" customFormat="1" ht="30">
      <c r="A52" s="50">
        <f t="shared" si="34"/>
        <v>44</v>
      </c>
      <c r="B52" s="38" t="s">
        <v>13</v>
      </c>
      <c r="C52" s="40" t="s">
        <v>163</v>
      </c>
      <c r="D52" s="38" t="s">
        <v>49</v>
      </c>
      <c r="E52" s="40" t="s">
        <v>167</v>
      </c>
      <c r="F52" s="40" t="s">
        <v>171</v>
      </c>
      <c r="G52" s="45">
        <v>33673.78</v>
      </c>
      <c r="H52" s="45">
        <v>0</v>
      </c>
      <c r="I52" s="47">
        <v>25</v>
      </c>
      <c r="J52" s="47">
        <v>100</v>
      </c>
      <c r="K52" s="47">
        <f t="shared" si="26"/>
        <v>966.4374859999999</v>
      </c>
      <c r="L52" s="47">
        <f t="shared" si="27"/>
        <v>2390.8383799999997</v>
      </c>
      <c r="M52" s="47">
        <f t="shared" si="28"/>
        <v>370.41158</v>
      </c>
      <c r="N52" s="47">
        <f t="shared" si="29"/>
        <v>1023.682912</v>
      </c>
      <c r="O52" s="47">
        <f t="shared" si="30"/>
        <v>2387.471002</v>
      </c>
      <c r="P52" s="47"/>
      <c r="Q52" s="47"/>
      <c r="R52" s="47">
        <v>1350.12</v>
      </c>
      <c r="S52" s="47">
        <f t="shared" si="31"/>
        <v>8488.96136</v>
      </c>
      <c r="T52" s="47">
        <f t="shared" si="32"/>
        <v>1990.120398</v>
      </c>
      <c r="U52" s="47">
        <f t="shared" si="33"/>
        <v>5148.720961999999</v>
      </c>
      <c r="V52" s="47">
        <f t="shared" si="6"/>
        <v>30208.539602</v>
      </c>
      <c r="W52" s="51">
        <v>111</v>
      </c>
      <c r="X52" s="41"/>
      <c r="Y52" s="42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</row>
    <row r="53" spans="1:53" s="44" customFormat="1" ht="30">
      <c r="A53" s="50">
        <f t="shared" si="34"/>
        <v>45</v>
      </c>
      <c r="B53" s="38" t="s">
        <v>17</v>
      </c>
      <c r="C53" s="40" t="s">
        <v>163</v>
      </c>
      <c r="D53" s="38" t="s">
        <v>47</v>
      </c>
      <c r="E53" s="40" t="s">
        <v>167</v>
      </c>
      <c r="F53" s="40" t="s">
        <v>171</v>
      </c>
      <c r="G53" s="45">
        <v>35000</v>
      </c>
      <c r="H53" s="45">
        <v>0</v>
      </c>
      <c r="I53" s="47">
        <v>25</v>
      </c>
      <c r="J53" s="47">
        <v>100</v>
      </c>
      <c r="K53" s="47">
        <f t="shared" si="26"/>
        <v>1004.5</v>
      </c>
      <c r="L53" s="47">
        <f t="shared" si="27"/>
        <v>2485</v>
      </c>
      <c r="M53" s="47">
        <f t="shared" si="28"/>
        <v>385.00000000000006</v>
      </c>
      <c r="N53" s="47">
        <f t="shared" si="29"/>
        <v>1064</v>
      </c>
      <c r="O53" s="47">
        <f t="shared" si="30"/>
        <v>2481.5</v>
      </c>
      <c r="P53" s="47"/>
      <c r="Q53" s="47"/>
      <c r="R53" s="47">
        <v>0</v>
      </c>
      <c r="S53" s="47">
        <f t="shared" si="31"/>
        <v>7420</v>
      </c>
      <c r="T53" s="47">
        <f t="shared" si="32"/>
        <v>2068.5</v>
      </c>
      <c r="U53" s="47">
        <f t="shared" si="33"/>
        <v>5351.5</v>
      </c>
      <c r="V53" s="47">
        <f t="shared" si="6"/>
        <v>32806.5</v>
      </c>
      <c r="W53" s="51">
        <v>111</v>
      </c>
      <c r="X53" s="41"/>
      <c r="Y53" s="42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</row>
    <row r="54" spans="1:53" s="44" customFormat="1" ht="30">
      <c r="A54" s="50">
        <f t="shared" si="34"/>
        <v>46</v>
      </c>
      <c r="B54" s="38" t="s">
        <v>6</v>
      </c>
      <c r="C54" s="40" t="s">
        <v>163</v>
      </c>
      <c r="D54" s="38" t="s">
        <v>47</v>
      </c>
      <c r="E54" s="40" t="s">
        <v>167</v>
      </c>
      <c r="F54" s="40" t="s">
        <v>171</v>
      </c>
      <c r="G54" s="45">
        <v>31500</v>
      </c>
      <c r="H54" s="45">
        <v>0</v>
      </c>
      <c r="I54" s="47">
        <v>25</v>
      </c>
      <c r="J54" s="47">
        <v>100</v>
      </c>
      <c r="K54" s="47">
        <f t="shared" si="26"/>
        <v>904.05</v>
      </c>
      <c r="L54" s="47">
        <f t="shared" si="27"/>
        <v>2236.5</v>
      </c>
      <c r="M54" s="47">
        <f t="shared" si="28"/>
        <v>346.50000000000006</v>
      </c>
      <c r="N54" s="47">
        <f t="shared" si="29"/>
        <v>957.6</v>
      </c>
      <c r="O54" s="47">
        <f t="shared" si="30"/>
        <v>2233.3500000000004</v>
      </c>
      <c r="P54" s="47"/>
      <c r="Q54" s="47"/>
      <c r="R54" s="47">
        <v>0</v>
      </c>
      <c r="S54" s="47">
        <f t="shared" si="31"/>
        <v>6678.000000000001</v>
      </c>
      <c r="T54" s="47">
        <f t="shared" si="32"/>
        <v>1861.65</v>
      </c>
      <c r="U54" s="47">
        <f t="shared" si="33"/>
        <v>4816.35</v>
      </c>
      <c r="V54" s="47">
        <f t="shared" si="6"/>
        <v>29513.35</v>
      </c>
      <c r="W54" s="51">
        <v>111</v>
      </c>
      <c r="X54" s="41"/>
      <c r="Y54" s="42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</row>
    <row r="55" spans="1:53" s="44" customFormat="1" ht="30">
      <c r="A55" s="50">
        <f t="shared" si="34"/>
        <v>47</v>
      </c>
      <c r="B55" s="38" t="s">
        <v>10</v>
      </c>
      <c r="C55" s="40" t="s">
        <v>163</v>
      </c>
      <c r="D55" s="38" t="s">
        <v>47</v>
      </c>
      <c r="E55" s="40" t="s">
        <v>167</v>
      </c>
      <c r="F55" s="40" t="s">
        <v>171</v>
      </c>
      <c r="G55" s="45">
        <v>35000</v>
      </c>
      <c r="H55" s="45">
        <v>0</v>
      </c>
      <c r="I55" s="47">
        <v>25</v>
      </c>
      <c r="J55" s="47">
        <v>100</v>
      </c>
      <c r="K55" s="47">
        <f t="shared" si="26"/>
        <v>1004.5</v>
      </c>
      <c r="L55" s="47">
        <f t="shared" si="27"/>
        <v>2485</v>
      </c>
      <c r="M55" s="47">
        <f t="shared" si="28"/>
        <v>385.00000000000006</v>
      </c>
      <c r="N55" s="47">
        <f t="shared" si="29"/>
        <v>1064</v>
      </c>
      <c r="O55" s="47">
        <f t="shared" si="30"/>
        <v>2481.5</v>
      </c>
      <c r="P55" s="47"/>
      <c r="Q55" s="47"/>
      <c r="R55" s="47">
        <v>0</v>
      </c>
      <c r="S55" s="47">
        <f t="shared" si="31"/>
        <v>7420</v>
      </c>
      <c r="T55" s="47">
        <f t="shared" si="32"/>
        <v>2068.5</v>
      </c>
      <c r="U55" s="47">
        <f t="shared" si="33"/>
        <v>5351.5</v>
      </c>
      <c r="V55" s="47">
        <f t="shared" si="6"/>
        <v>32806.5</v>
      </c>
      <c r="W55" s="51">
        <v>111</v>
      </c>
      <c r="X55" s="41"/>
      <c r="Y55" s="42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</row>
    <row r="56" spans="1:53" s="44" customFormat="1" ht="30">
      <c r="A56" s="50">
        <f t="shared" si="34"/>
        <v>48</v>
      </c>
      <c r="B56" s="38" t="s">
        <v>247</v>
      </c>
      <c r="C56" s="40" t="s">
        <v>163</v>
      </c>
      <c r="D56" s="38" t="s">
        <v>47</v>
      </c>
      <c r="E56" s="40" t="s">
        <v>167</v>
      </c>
      <c r="F56" s="40" t="s">
        <v>171</v>
      </c>
      <c r="G56" s="45">
        <v>26486</v>
      </c>
      <c r="H56" s="45">
        <v>0</v>
      </c>
      <c r="I56" s="47">
        <v>25</v>
      </c>
      <c r="J56" s="47"/>
      <c r="K56" s="47">
        <f t="shared" si="26"/>
        <v>760.1482</v>
      </c>
      <c r="L56" s="47">
        <f t="shared" si="27"/>
        <v>1880.5059999999999</v>
      </c>
      <c r="M56" s="47">
        <f t="shared" si="28"/>
        <v>291.346</v>
      </c>
      <c r="N56" s="47">
        <f t="shared" si="29"/>
        <v>805.1744</v>
      </c>
      <c r="O56" s="47">
        <f t="shared" si="30"/>
        <v>1877.8574</v>
      </c>
      <c r="P56" s="47"/>
      <c r="Q56" s="47"/>
      <c r="R56" s="47">
        <v>0</v>
      </c>
      <c r="S56" s="47">
        <f t="shared" si="31"/>
        <v>5615.032</v>
      </c>
      <c r="T56" s="47">
        <f t="shared" si="32"/>
        <v>1565.3226</v>
      </c>
      <c r="U56" s="47">
        <f t="shared" si="33"/>
        <v>4049.7093999999997</v>
      </c>
      <c r="V56" s="47">
        <f t="shared" si="6"/>
        <v>24895.6774</v>
      </c>
      <c r="W56" s="51">
        <v>111</v>
      </c>
      <c r="X56" s="41"/>
      <c r="Y56" s="42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</row>
    <row r="57" spans="1:53" s="44" customFormat="1" ht="30">
      <c r="A57" s="50">
        <f t="shared" si="34"/>
        <v>49</v>
      </c>
      <c r="B57" s="38" t="s">
        <v>114</v>
      </c>
      <c r="C57" s="40" t="s">
        <v>163</v>
      </c>
      <c r="D57" s="38" t="s">
        <v>47</v>
      </c>
      <c r="E57" s="40" t="s">
        <v>167</v>
      </c>
      <c r="F57" s="40" t="s">
        <v>171</v>
      </c>
      <c r="G57" s="45">
        <v>30000</v>
      </c>
      <c r="H57" s="45">
        <v>0</v>
      </c>
      <c r="I57" s="47">
        <v>25</v>
      </c>
      <c r="J57" s="47">
        <v>100</v>
      </c>
      <c r="K57" s="47">
        <f aca="true" t="shared" si="35" ref="K57:K62">+G57*2.87%</f>
        <v>861</v>
      </c>
      <c r="L57" s="47">
        <f aca="true" t="shared" si="36" ref="L57:L62">+G57*7.1%</f>
        <v>2130</v>
      </c>
      <c r="M57" s="47">
        <f aca="true" t="shared" si="37" ref="M57:M62">+G57*1.1%</f>
        <v>330.00000000000006</v>
      </c>
      <c r="N57" s="47">
        <f aca="true" t="shared" si="38" ref="N57:N62">+G57*3.04%</f>
        <v>912</v>
      </c>
      <c r="O57" s="47">
        <f aca="true" t="shared" si="39" ref="O57:O62">+G57*7.09%</f>
        <v>2127</v>
      </c>
      <c r="P57" s="47"/>
      <c r="Q57" s="47"/>
      <c r="R57" s="47">
        <v>0</v>
      </c>
      <c r="S57" s="47">
        <f t="shared" si="31"/>
        <v>6360</v>
      </c>
      <c r="T57" s="47">
        <f t="shared" si="32"/>
        <v>1773</v>
      </c>
      <c r="U57" s="47">
        <f aca="true" t="shared" si="40" ref="U57:U62">+L57+M57+O57</f>
        <v>4587</v>
      </c>
      <c r="V57" s="47">
        <f t="shared" si="6"/>
        <v>28102</v>
      </c>
      <c r="W57" s="51">
        <v>111</v>
      </c>
      <c r="X57" s="41"/>
      <c r="Y57" s="42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</row>
    <row r="58" spans="1:53" s="44" customFormat="1" ht="30">
      <c r="A58" s="50">
        <f>A57+1</f>
        <v>50</v>
      </c>
      <c r="B58" s="38" t="s">
        <v>115</v>
      </c>
      <c r="C58" s="40" t="s">
        <v>163</v>
      </c>
      <c r="D58" s="38" t="s">
        <v>47</v>
      </c>
      <c r="E58" s="40" t="s">
        <v>167</v>
      </c>
      <c r="F58" s="40" t="s">
        <v>171</v>
      </c>
      <c r="G58" s="45">
        <v>30000</v>
      </c>
      <c r="H58" s="45">
        <v>0</v>
      </c>
      <c r="I58" s="47">
        <v>25</v>
      </c>
      <c r="J58" s="47">
        <v>100</v>
      </c>
      <c r="K58" s="47">
        <f t="shared" si="35"/>
        <v>861</v>
      </c>
      <c r="L58" s="47">
        <f t="shared" si="36"/>
        <v>2130</v>
      </c>
      <c r="M58" s="47">
        <f t="shared" si="37"/>
        <v>330.00000000000006</v>
      </c>
      <c r="N58" s="47">
        <f t="shared" si="38"/>
        <v>912</v>
      </c>
      <c r="O58" s="47">
        <f t="shared" si="39"/>
        <v>2127</v>
      </c>
      <c r="P58" s="47"/>
      <c r="Q58" s="47"/>
      <c r="R58" s="47">
        <v>0</v>
      </c>
      <c r="S58" s="47">
        <f t="shared" si="31"/>
        <v>6360</v>
      </c>
      <c r="T58" s="47">
        <f t="shared" si="32"/>
        <v>1773</v>
      </c>
      <c r="U58" s="47">
        <f t="shared" si="40"/>
        <v>4587</v>
      </c>
      <c r="V58" s="47">
        <f t="shared" si="6"/>
        <v>28102</v>
      </c>
      <c r="W58" s="51">
        <v>111</v>
      </c>
      <c r="X58" s="41"/>
      <c r="Y58" s="42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</row>
    <row r="59" spans="1:53" s="44" customFormat="1" ht="30">
      <c r="A59" s="50">
        <f t="shared" si="34"/>
        <v>51</v>
      </c>
      <c r="B59" s="38" t="s">
        <v>116</v>
      </c>
      <c r="C59" s="40" t="s">
        <v>163</v>
      </c>
      <c r="D59" s="38" t="s">
        <v>47</v>
      </c>
      <c r="E59" s="40" t="s">
        <v>167</v>
      </c>
      <c r="F59" s="40" t="s">
        <v>171</v>
      </c>
      <c r="G59" s="45">
        <v>30000</v>
      </c>
      <c r="H59" s="45">
        <v>0</v>
      </c>
      <c r="I59" s="47">
        <v>25</v>
      </c>
      <c r="J59" s="47">
        <v>100</v>
      </c>
      <c r="K59" s="47">
        <f t="shared" si="35"/>
        <v>861</v>
      </c>
      <c r="L59" s="47">
        <f t="shared" si="36"/>
        <v>2130</v>
      </c>
      <c r="M59" s="47">
        <f t="shared" si="37"/>
        <v>330.00000000000006</v>
      </c>
      <c r="N59" s="47">
        <f t="shared" si="38"/>
        <v>912</v>
      </c>
      <c r="O59" s="47">
        <f t="shared" si="39"/>
        <v>2127</v>
      </c>
      <c r="P59" s="47"/>
      <c r="Q59" s="47"/>
      <c r="R59" s="47">
        <v>0</v>
      </c>
      <c r="S59" s="47">
        <f t="shared" si="31"/>
        <v>6360</v>
      </c>
      <c r="T59" s="47">
        <f t="shared" si="32"/>
        <v>1773</v>
      </c>
      <c r="U59" s="47">
        <f t="shared" si="40"/>
        <v>4587</v>
      </c>
      <c r="V59" s="47">
        <f t="shared" si="6"/>
        <v>28102</v>
      </c>
      <c r="W59" s="51">
        <v>111</v>
      </c>
      <c r="X59" s="41"/>
      <c r="Y59" s="42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s="44" customFormat="1" ht="30">
      <c r="A60" s="50">
        <f aca="true" t="shared" si="41" ref="A60:A68">A59+1</f>
        <v>52</v>
      </c>
      <c r="B60" s="38" t="s">
        <v>117</v>
      </c>
      <c r="C60" s="40" t="s">
        <v>163</v>
      </c>
      <c r="D60" s="38" t="s">
        <v>47</v>
      </c>
      <c r="E60" s="40" t="s">
        <v>167</v>
      </c>
      <c r="F60" s="40" t="s">
        <v>171</v>
      </c>
      <c r="G60" s="45">
        <v>30000</v>
      </c>
      <c r="H60" s="45">
        <v>0</v>
      </c>
      <c r="I60" s="47">
        <v>25</v>
      </c>
      <c r="J60" s="47">
        <v>100</v>
      </c>
      <c r="K60" s="47">
        <f t="shared" si="35"/>
        <v>861</v>
      </c>
      <c r="L60" s="47">
        <f t="shared" si="36"/>
        <v>2130</v>
      </c>
      <c r="M60" s="47">
        <f t="shared" si="37"/>
        <v>330.00000000000006</v>
      </c>
      <c r="N60" s="47">
        <f t="shared" si="38"/>
        <v>912</v>
      </c>
      <c r="O60" s="47">
        <f t="shared" si="39"/>
        <v>2127</v>
      </c>
      <c r="P60" s="47"/>
      <c r="Q60" s="47"/>
      <c r="R60" s="47">
        <v>0</v>
      </c>
      <c r="S60" s="47">
        <f t="shared" si="31"/>
        <v>6360</v>
      </c>
      <c r="T60" s="47">
        <f t="shared" si="32"/>
        <v>1773</v>
      </c>
      <c r="U60" s="47">
        <f t="shared" si="40"/>
        <v>4587</v>
      </c>
      <c r="V60" s="47">
        <f t="shared" si="6"/>
        <v>28102</v>
      </c>
      <c r="W60" s="51">
        <v>111</v>
      </c>
      <c r="X60" s="41"/>
      <c r="Y60" s="42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</row>
    <row r="61" spans="1:53" s="44" customFormat="1" ht="30">
      <c r="A61" s="50">
        <f t="shared" si="41"/>
        <v>53</v>
      </c>
      <c r="B61" s="38" t="s">
        <v>134</v>
      </c>
      <c r="C61" s="40" t="s">
        <v>163</v>
      </c>
      <c r="D61" s="38" t="s">
        <v>47</v>
      </c>
      <c r="E61" s="40" t="s">
        <v>167</v>
      </c>
      <c r="F61" s="40" t="s">
        <v>171</v>
      </c>
      <c r="G61" s="45">
        <v>25000</v>
      </c>
      <c r="H61" s="45">
        <v>0</v>
      </c>
      <c r="I61" s="47">
        <v>25</v>
      </c>
      <c r="J61" s="47">
        <v>100</v>
      </c>
      <c r="K61" s="47">
        <f t="shared" si="35"/>
        <v>717.5</v>
      </c>
      <c r="L61" s="47">
        <f t="shared" si="36"/>
        <v>1774.9999999999998</v>
      </c>
      <c r="M61" s="47">
        <f t="shared" si="37"/>
        <v>275</v>
      </c>
      <c r="N61" s="47">
        <f t="shared" si="38"/>
        <v>760</v>
      </c>
      <c r="O61" s="47">
        <f t="shared" si="39"/>
        <v>1772.5000000000002</v>
      </c>
      <c r="P61" s="47"/>
      <c r="Q61" s="47"/>
      <c r="R61" s="47">
        <v>0</v>
      </c>
      <c r="S61" s="47">
        <f t="shared" si="31"/>
        <v>5300</v>
      </c>
      <c r="T61" s="47">
        <f t="shared" si="32"/>
        <v>1477.5</v>
      </c>
      <c r="U61" s="47">
        <f t="shared" si="40"/>
        <v>3822.5</v>
      </c>
      <c r="V61" s="47">
        <f t="shared" si="6"/>
        <v>23397.5</v>
      </c>
      <c r="W61" s="51">
        <v>111</v>
      </c>
      <c r="X61" s="41"/>
      <c r="Y61" s="42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</row>
    <row r="62" spans="1:53" s="44" customFormat="1" ht="30">
      <c r="A62" s="50">
        <f t="shared" si="41"/>
        <v>54</v>
      </c>
      <c r="B62" s="38" t="s">
        <v>146</v>
      </c>
      <c r="C62" s="40" t="s">
        <v>163</v>
      </c>
      <c r="D62" s="38" t="s">
        <v>47</v>
      </c>
      <c r="E62" s="40" t="s">
        <v>167</v>
      </c>
      <c r="F62" s="40" t="s">
        <v>171</v>
      </c>
      <c r="G62" s="45">
        <v>25000</v>
      </c>
      <c r="H62" s="45">
        <v>0</v>
      </c>
      <c r="I62" s="47">
        <v>25</v>
      </c>
      <c r="J62" s="47">
        <v>100</v>
      </c>
      <c r="K62" s="47">
        <f t="shared" si="35"/>
        <v>717.5</v>
      </c>
      <c r="L62" s="47">
        <f t="shared" si="36"/>
        <v>1774.9999999999998</v>
      </c>
      <c r="M62" s="47">
        <f t="shared" si="37"/>
        <v>275</v>
      </c>
      <c r="N62" s="47">
        <f t="shared" si="38"/>
        <v>760</v>
      </c>
      <c r="O62" s="47">
        <f t="shared" si="39"/>
        <v>1772.5000000000002</v>
      </c>
      <c r="P62" s="47"/>
      <c r="Q62" s="47"/>
      <c r="R62" s="47">
        <v>0</v>
      </c>
      <c r="S62" s="47">
        <f t="shared" si="31"/>
        <v>5300</v>
      </c>
      <c r="T62" s="47">
        <f t="shared" si="32"/>
        <v>1477.5</v>
      </c>
      <c r="U62" s="47">
        <f t="shared" si="40"/>
        <v>3822.5</v>
      </c>
      <c r="V62" s="47">
        <f t="shared" si="6"/>
        <v>23397.5</v>
      </c>
      <c r="W62" s="51">
        <v>111</v>
      </c>
      <c r="X62" s="41"/>
      <c r="Y62" s="42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s="44" customFormat="1" ht="30">
      <c r="A63" s="50">
        <f t="shared" si="41"/>
        <v>55</v>
      </c>
      <c r="B63" s="38" t="s">
        <v>125</v>
      </c>
      <c r="C63" s="40" t="s">
        <v>163</v>
      </c>
      <c r="D63" s="38" t="s">
        <v>47</v>
      </c>
      <c r="E63" s="40" t="s">
        <v>167</v>
      </c>
      <c r="F63" s="40" t="s">
        <v>171</v>
      </c>
      <c r="G63" s="45">
        <v>26486</v>
      </c>
      <c r="H63" s="45">
        <v>0</v>
      </c>
      <c r="I63" s="47">
        <v>25</v>
      </c>
      <c r="J63" s="47">
        <v>100</v>
      </c>
      <c r="K63" s="47">
        <f t="shared" si="26"/>
        <v>760.1482</v>
      </c>
      <c r="L63" s="47">
        <f t="shared" si="27"/>
        <v>1880.5059999999999</v>
      </c>
      <c r="M63" s="47">
        <f t="shared" si="28"/>
        <v>291.346</v>
      </c>
      <c r="N63" s="47">
        <f t="shared" si="29"/>
        <v>805.1744</v>
      </c>
      <c r="O63" s="47">
        <f t="shared" si="30"/>
        <v>1877.8574</v>
      </c>
      <c r="P63" s="47"/>
      <c r="Q63" s="47"/>
      <c r="R63" s="47">
        <v>0</v>
      </c>
      <c r="S63" s="47">
        <f t="shared" si="31"/>
        <v>5615.032</v>
      </c>
      <c r="T63" s="47">
        <f t="shared" si="32"/>
        <v>1565.3226</v>
      </c>
      <c r="U63" s="47">
        <f t="shared" si="33"/>
        <v>4049.7093999999997</v>
      </c>
      <c r="V63" s="47">
        <f t="shared" si="6"/>
        <v>24795.6774</v>
      </c>
      <c r="W63" s="51">
        <v>111</v>
      </c>
      <c r="X63" s="41"/>
      <c r="Y63" s="42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53" s="44" customFormat="1" ht="30">
      <c r="A64" s="50">
        <f>A63+1</f>
        <v>56</v>
      </c>
      <c r="B64" s="38" t="s">
        <v>250</v>
      </c>
      <c r="C64" s="40" t="s">
        <v>163</v>
      </c>
      <c r="D64" s="38" t="s">
        <v>47</v>
      </c>
      <c r="E64" s="40" t="s">
        <v>167</v>
      </c>
      <c r="F64" s="40" t="s">
        <v>171</v>
      </c>
      <c r="G64" s="45">
        <v>20000</v>
      </c>
      <c r="H64" s="45">
        <v>0</v>
      </c>
      <c r="I64" s="47">
        <v>25</v>
      </c>
      <c r="J64" s="47"/>
      <c r="K64" s="47">
        <f>+G64*2.87%</f>
        <v>574</v>
      </c>
      <c r="L64" s="47">
        <f>+G64*7.1%</f>
        <v>1419.9999999999998</v>
      </c>
      <c r="M64" s="47">
        <f>+G64*1.1%</f>
        <v>220.00000000000003</v>
      </c>
      <c r="N64" s="47">
        <f>+G64*3.04%</f>
        <v>608</v>
      </c>
      <c r="O64" s="47">
        <f>+G64*7.09%</f>
        <v>1418</v>
      </c>
      <c r="P64" s="47"/>
      <c r="Q64" s="47"/>
      <c r="R64" s="47">
        <v>0</v>
      </c>
      <c r="S64" s="47">
        <f>SUM(K64:R64)</f>
        <v>4240</v>
      </c>
      <c r="T64" s="47">
        <f>+K64+N64</f>
        <v>1182</v>
      </c>
      <c r="U64" s="47">
        <f>+L64+M64+O64</f>
        <v>3058</v>
      </c>
      <c r="V64" s="47">
        <f>+G64-T64-H64-I64-R64-J64-P64-Q64</f>
        <v>18793</v>
      </c>
      <c r="W64" s="51">
        <v>111</v>
      </c>
      <c r="X64" s="41"/>
      <c r="Y64" s="42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</row>
    <row r="65" spans="1:53" s="44" customFormat="1" ht="30">
      <c r="A65" s="50">
        <f>A64+1</f>
        <v>57</v>
      </c>
      <c r="B65" s="38" t="s">
        <v>104</v>
      </c>
      <c r="C65" s="40" t="s">
        <v>163</v>
      </c>
      <c r="D65" s="38" t="s">
        <v>105</v>
      </c>
      <c r="E65" s="40" t="s">
        <v>167</v>
      </c>
      <c r="F65" s="40" t="s">
        <v>172</v>
      </c>
      <c r="G65" s="45">
        <v>26250</v>
      </c>
      <c r="H65" s="45">
        <v>0</v>
      </c>
      <c r="I65" s="47">
        <v>25</v>
      </c>
      <c r="J65" s="47">
        <v>100</v>
      </c>
      <c r="K65" s="47">
        <f>+G65*2.87%</f>
        <v>753.375</v>
      </c>
      <c r="L65" s="47">
        <f>+G65*7.1%</f>
        <v>1863.7499999999998</v>
      </c>
      <c r="M65" s="47">
        <f>+G65*1.1%</f>
        <v>288.75000000000006</v>
      </c>
      <c r="N65" s="47">
        <f>+G65*3.04%</f>
        <v>798</v>
      </c>
      <c r="O65" s="47">
        <f>+G65*7.09%</f>
        <v>1861.1250000000002</v>
      </c>
      <c r="P65" s="47"/>
      <c r="Q65" s="47"/>
      <c r="R65" s="47">
        <v>0</v>
      </c>
      <c r="S65" s="47">
        <f aca="true" t="shared" si="42" ref="S65:S93">SUM(K65:R65)</f>
        <v>5565</v>
      </c>
      <c r="T65" s="47">
        <f aca="true" t="shared" si="43" ref="T65:T93">+K65+N65</f>
        <v>1551.375</v>
      </c>
      <c r="U65" s="47">
        <f>+L65+M65+O65</f>
        <v>4013.625</v>
      </c>
      <c r="V65" s="47">
        <f t="shared" si="6"/>
        <v>24573.625</v>
      </c>
      <c r="W65" s="51">
        <v>111</v>
      </c>
      <c r="X65" s="41"/>
      <c r="Y65" s="42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1:53" s="44" customFormat="1" ht="30">
      <c r="A66" s="50">
        <f t="shared" si="41"/>
        <v>58</v>
      </c>
      <c r="B66" s="38" t="s">
        <v>118</v>
      </c>
      <c r="C66" s="40" t="s">
        <v>163</v>
      </c>
      <c r="D66" s="38" t="s">
        <v>119</v>
      </c>
      <c r="E66" s="40" t="s">
        <v>167</v>
      </c>
      <c r="F66" s="40" t="s">
        <v>171</v>
      </c>
      <c r="G66" s="45">
        <v>30000</v>
      </c>
      <c r="H66" s="45">
        <v>0</v>
      </c>
      <c r="I66" s="47">
        <v>25</v>
      </c>
      <c r="J66" s="47">
        <v>100</v>
      </c>
      <c r="K66" s="47">
        <f>+G66*2.87%</f>
        <v>861</v>
      </c>
      <c r="L66" s="47">
        <f>+G66*7.1%</f>
        <v>2130</v>
      </c>
      <c r="M66" s="47">
        <f>+G66*1.1%</f>
        <v>330.00000000000006</v>
      </c>
      <c r="N66" s="47">
        <f>+G66*3.04%</f>
        <v>912</v>
      </c>
      <c r="O66" s="47">
        <f>+G66*7.09%</f>
        <v>2127</v>
      </c>
      <c r="P66" s="47"/>
      <c r="Q66" s="47"/>
      <c r="R66" s="47">
        <v>0</v>
      </c>
      <c r="S66" s="47">
        <f t="shared" si="42"/>
        <v>6360</v>
      </c>
      <c r="T66" s="47">
        <f t="shared" si="43"/>
        <v>1773</v>
      </c>
      <c r="U66" s="47">
        <f>+L66+M66+O66</f>
        <v>4587</v>
      </c>
      <c r="V66" s="47">
        <f t="shared" si="6"/>
        <v>28102</v>
      </c>
      <c r="W66" s="51">
        <v>111</v>
      </c>
      <c r="X66" s="41"/>
      <c r="Y66" s="42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1:53" s="44" customFormat="1" ht="30">
      <c r="A67" s="50">
        <f t="shared" si="41"/>
        <v>59</v>
      </c>
      <c r="B67" s="38" t="s">
        <v>135</v>
      </c>
      <c r="C67" s="40" t="s">
        <v>163</v>
      </c>
      <c r="D67" s="38" t="s">
        <v>119</v>
      </c>
      <c r="E67" s="40" t="s">
        <v>167</v>
      </c>
      <c r="F67" s="40" t="s">
        <v>171</v>
      </c>
      <c r="G67" s="45">
        <v>25000</v>
      </c>
      <c r="H67" s="45">
        <v>0</v>
      </c>
      <c r="I67" s="47">
        <v>25</v>
      </c>
      <c r="J67" s="47">
        <v>100</v>
      </c>
      <c r="K67" s="47">
        <f>+G67*2.87%</f>
        <v>717.5</v>
      </c>
      <c r="L67" s="47">
        <f>+G67*7.1%</f>
        <v>1774.9999999999998</v>
      </c>
      <c r="M67" s="47">
        <f>+G67*1.1%</f>
        <v>275</v>
      </c>
      <c r="N67" s="47">
        <f>+G67*3.04%</f>
        <v>760</v>
      </c>
      <c r="O67" s="47">
        <f>+G67*7.09%</f>
        <v>1772.5000000000002</v>
      </c>
      <c r="P67" s="47"/>
      <c r="Q67" s="47"/>
      <c r="R67" s="47">
        <v>0</v>
      </c>
      <c r="S67" s="47">
        <f t="shared" si="42"/>
        <v>5300</v>
      </c>
      <c r="T67" s="47">
        <f t="shared" si="43"/>
        <v>1477.5</v>
      </c>
      <c r="U67" s="47">
        <f>+L67+M67+O67</f>
        <v>3822.5</v>
      </c>
      <c r="V67" s="47">
        <f t="shared" si="6"/>
        <v>23397.5</v>
      </c>
      <c r="W67" s="51">
        <v>111</v>
      </c>
      <c r="X67" s="41"/>
      <c r="Y67" s="42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</row>
    <row r="68" spans="1:53" s="44" customFormat="1" ht="30">
      <c r="A68" s="50">
        <f t="shared" si="41"/>
        <v>60</v>
      </c>
      <c r="B68" s="38" t="s">
        <v>12</v>
      </c>
      <c r="C68" s="40" t="s">
        <v>163</v>
      </c>
      <c r="D68" s="38" t="s">
        <v>263</v>
      </c>
      <c r="E68" s="40" t="s">
        <v>167</v>
      </c>
      <c r="F68" s="40" t="s">
        <v>171</v>
      </c>
      <c r="G68" s="45">
        <v>19747.5</v>
      </c>
      <c r="H68" s="45">
        <v>0</v>
      </c>
      <c r="I68" s="47">
        <v>25</v>
      </c>
      <c r="J68" s="47">
        <v>100</v>
      </c>
      <c r="K68" s="47">
        <f aca="true" t="shared" si="44" ref="K68:K93">+G68*2.87%</f>
        <v>566.75325</v>
      </c>
      <c r="L68" s="47">
        <f aca="true" t="shared" si="45" ref="L68:L93">+G68*7.1%</f>
        <v>1402.0724999999998</v>
      </c>
      <c r="M68" s="47">
        <f aca="true" t="shared" si="46" ref="M68:M93">+G68*1.1%</f>
        <v>217.22250000000003</v>
      </c>
      <c r="N68" s="47">
        <f aca="true" t="shared" si="47" ref="N68:N93">+G68*3.04%</f>
        <v>600.324</v>
      </c>
      <c r="O68" s="47">
        <f aca="true" t="shared" si="48" ref="O68:O93">+G68*7.09%</f>
        <v>1400.0977500000001</v>
      </c>
      <c r="P68" s="47"/>
      <c r="Q68" s="47"/>
      <c r="R68" s="47">
        <v>0</v>
      </c>
      <c r="S68" s="47">
        <f t="shared" si="42"/>
        <v>4186.47</v>
      </c>
      <c r="T68" s="47">
        <f t="shared" si="43"/>
        <v>1167.0772499999998</v>
      </c>
      <c r="U68" s="47">
        <f aca="true" t="shared" si="49" ref="U68:U93">+L68+M68+O68</f>
        <v>3019.39275</v>
      </c>
      <c r="V68" s="47">
        <f t="shared" si="6"/>
        <v>18455.42275</v>
      </c>
      <c r="W68" s="51">
        <v>111</v>
      </c>
      <c r="X68" s="41"/>
      <c r="Y68" s="42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</row>
    <row r="69" spans="1:53" s="44" customFormat="1" ht="30">
      <c r="A69" s="50">
        <f aca="true" t="shared" si="50" ref="A69:A76">A68+1</f>
        <v>61</v>
      </c>
      <c r="B69" s="38" t="s">
        <v>4</v>
      </c>
      <c r="C69" s="40" t="s">
        <v>163</v>
      </c>
      <c r="D69" s="38" t="s">
        <v>45</v>
      </c>
      <c r="E69" s="40" t="s">
        <v>167</v>
      </c>
      <c r="F69" s="40" t="s">
        <v>172</v>
      </c>
      <c r="G69" s="45">
        <v>16500</v>
      </c>
      <c r="H69" s="45">
        <v>0</v>
      </c>
      <c r="I69" s="47">
        <v>25</v>
      </c>
      <c r="J69" s="47">
        <v>100</v>
      </c>
      <c r="K69" s="47">
        <f t="shared" si="44"/>
        <v>473.55</v>
      </c>
      <c r="L69" s="47">
        <f t="shared" si="45"/>
        <v>1171.5</v>
      </c>
      <c r="M69" s="47">
        <f t="shared" si="46"/>
        <v>181.50000000000003</v>
      </c>
      <c r="N69" s="47">
        <f t="shared" si="47"/>
        <v>501.6</v>
      </c>
      <c r="O69" s="47">
        <f t="shared" si="48"/>
        <v>1169.8500000000001</v>
      </c>
      <c r="P69" s="47"/>
      <c r="Q69" s="47"/>
      <c r="R69" s="47">
        <v>1350.12</v>
      </c>
      <c r="S69" s="47">
        <f t="shared" si="42"/>
        <v>4848.12</v>
      </c>
      <c r="T69" s="47">
        <f t="shared" si="43"/>
        <v>975.1500000000001</v>
      </c>
      <c r="U69" s="47">
        <f t="shared" si="49"/>
        <v>2522.8500000000004</v>
      </c>
      <c r="V69" s="47">
        <f t="shared" si="6"/>
        <v>14049.73</v>
      </c>
      <c r="W69" s="51">
        <v>111</v>
      </c>
      <c r="X69" s="41"/>
      <c r="Y69" s="42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44" customFormat="1" ht="30">
      <c r="A70" s="50">
        <f t="shared" si="50"/>
        <v>62</v>
      </c>
      <c r="B70" s="38" t="s">
        <v>9</v>
      </c>
      <c r="C70" s="40" t="s">
        <v>163</v>
      </c>
      <c r="D70" s="38" t="s">
        <v>45</v>
      </c>
      <c r="E70" s="40" t="s">
        <v>167</v>
      </c>
      <c r="F70" s="40" t="s">
        <v>172</v>
      </c>
      <c r="G70" s="45">
        <v>16500</v>
      </c>
      <c r="H70" s="45">
        <v>0</v>
      </c>
      <c r="I70" s="47">
        <v>25</v>
      </c>
      <c r="J70" s="47">
        <v>100</v>
      </c>
      <c r="K70" s="47">
        <f t="shared" si="44"/>
        <v>473.55</v>
      </c>
      <c r="L70" s="47">
        <f t="shared" si="45"/>
        <v>1171.5</v>
      </c>
      <c r="M70" s="47">
        <f t="shared" si="46"/>
        <v>181.50000000000003</v>
      </c>
      <c r="N70" s="47">
        <f t="shared" si="47"/>
        <v>501.6</v>
      </c>
      <c r="O70" s="47">
        <f t="shared" si="48"/>
        <v>1169.8500000000001</v>
      </c>
      <c r="P70" s="47"/>
      <c r="Q70" s="47"/>
      <c r="R70" s="47">
        <v>0</v>
      </c>
      <c r="S70" s="47">
        <f t="shared" si="42"/>
        <v>3498</v>
      </c>
      <c r="T70" s="47">
        <f t="shared" si="43"/>
        <v>975.1500000000001</v>
      </c>
      <c r="U70" s="47">
        <f t="shared" si="49"/>
        <v>2522.8500000000004</v>
      </c>
      <c r="V70" s="47">
        <f t="shared" si="6"/>
        <v>15399.85</v>
      </c>
      <c r="W70" s="51">
        <v>111</v>
      </c>
      <c r="X70" s="41"/>
      <c r="Y70" s="42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</row>
    <row r="71" spans="1:53" s="44" customFormat="1" ht="30">
      <c r="A71" s="50">
        <f t="shared" si="50"/>
        <v>63</v>
      </c>
      <c r="B71" s="38" t="s">
        <v>11</v>
      </c>
      <c r="C71" s="40" t="s">
        <v>163</v>
      </c>
      <c r="D71" s="38" t="s">
        <v>45</v>
      </c>
      <c r="E71" s="40" t="s">
        <v>167</v>
      </c>
      <c r="F71" s="40" t="s">
        <v>171</v>
      </c>
      <c r="G71" s="45">
        <v>16500</v>
      </c>
      <c r="H71" s="45">
        <v>0</v>
      </c>
      <c r="I71" s="47">
        <v>25</v>
      </c>
      <c r="J71" s="47">
        <v>100</v>
      </c>
      <c r="K71" s="47">
        <f t="shared" si="44"/>
        <v>473.55</v>
      </c>
      <c r="L71" s="47">
        <f t="shared" si="45"/>
        <v>1171.5</v>
      </c>
      <c r="M71" s="47">
        <f t="shared" si="46"/>
        <v>181.50000000000003</v>
      </c>
      <c r="N71" s="47">
        <f t="shared" si="47"/>
        <v>501.6</v>
      </c>
      <c r="O71" s="47">
        <f t="shared" si="48"/>
        <v>1169.8500000000001</v>
      </c>
      <c r="P71" s="47"/>
      <c r="Q71" s="47"/>
      <c r="R71" s="47">
        <v>0</v>
      </c>
      <c r="S71" s="47">
        <f t="shared" si="42"/>
        <v>3498</v>
      </c>
      <c r="T71" s="47">
        <f t="shared" si="43"/>
        <v>975.1500000000001</v>
      </c>
      <c r="U71" s="47">
        <f t="shared" si="49"/>
        <v>2522.8500000000004</v>
      </c>
      <c r="V71" s="47">
        <f t="shared" si="6"/>
        <v>15399.85</v>
      </c>
      <c r="W71" s="51">
        <v>111</v>
      </c>
      <c r="X71" s="41"/>
      <c r="Y71" s="42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44" customFormat="1" ht="30">
      <c r="A72" s="50">
        <f t="shared" si="50"/>
        <v>64</v>
      </c>
      <c r="B72" s="38" t="s">
        <v>34</v>
      </c>
      <c r="C72" s="40" t="s">
        <v>163</v>
      </c>
      <c r="D72" s="38" t="s">
        <v>45</v>
      </c>
      <c r="E72" s="40" t="s">
        <v>167</v>
      </c>
      <c r="F72" s="40" t="s">
        <v>172</v>
      </c>
      <c r="G72" s="45">
        <v>16500</v>
      </c>
      <c r="H72" s="45">
        <v>0</v>
      </c>
      <c r="I72" s="47">
        <v>25</v>
      </c>
      <c r="J72" s="47">
        <v>100</v>
      </c>
      <c r="K72" s="47">
        <f t="shared" si="44"/>
        <v>473.55</v>
      </c>
      <c r="L72" s="47">
        <f t="shared" si="45"/>
        <v>1171.5</v>
      </c>
      <c r="M72" s="47">
        <f t="shared" si="46"/>
        <v>181.50000000000003</v>
      </c>
      <c r="N72" s="47">
        <f t="shared" si="47"/>
        <v>501.6</v>
      </c>
      <c r="O72" s="47">
        <f t="shared" si="48"/>
        <v>1169.8500000000001</v>
      </c>
      <c r="P72" s="47"/>
      <c r="Q72" s="47"/>
      <c r="R72" s="47">
        <v>0</v>
      </c>
      <c r="S72" s="47">
        <f t="shared" si="42"/>
        <v>3498</v>
      </c>
      <c r="T72" s="47">
        <f t="shared" si="43"/>
        <v>975.1500000000001</v>
      </c>
      <c r="U72" s="47">
        <f t="shared" si="49"/>
        <v>2522.8500000000004</v>
      </c>
      <c r="V72" s="47">
        <f t="shared" si="6"/>
        <v>15399.85</v>
      </c>
      <c r="W72" s="51">
        <v>111</v>
      </c>
      <c r="X72" s="41"/>
      <c r="Y72" s="42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</row>
    <row r="73" spans="1:53" s="44" customFormat="1" ht="30">
      <c r="A73" s="50">
        <f t="shared" si="50"/>
        <v>65</v>
      </c>
      <c r="B73" s="38" t="s">
        <v>36</v>
      </c>
      <c r="C73" s="40" t="s">
        <v>163</v>
      </c>
      <c r="D73" s="38" t="s">
        <v>45</v>
      </c>
      <c r="E73" s="40" t="s">
        <v>167</v>
      </c>
      <c r="F73" s="40" t="s">
        <v>172</v>
      </c>
      <c r="G73" s="45">
        <v>16500</v>
      </c>
      <c r="H73" s="45">
        <v>0</v>
      </c>
      <c r="I73" s="47">
        <v>25</v>
      </c>
      <c r="J73" s="47">
        <v>100</v>
      </c>
      <c r="K73" s="47">
        <f t="shared" si="44"/>
        <v>473.55</v>
      </c>
      <c r="L73" s="47">
        <f t="shared" si="45"/>
        <v>1171.5</v>
      </c>
      <c r="M73" s="47">
        <f t="shared" si="46"/>
        <v>181.50000000000003</v>
      </c>
      <c r="N73" s="47">
        <f t="shared" si="47"/>
        <v>501.6</v>
      </c>
      <c r="O73" s="47">
        <f t="shared" si="48"/>
        <v>1169.8500000000001</v>
      </c>
      <c r="P73" s="47"/>
      <c r="Q73" s="47"/>
      <c r="R73" s="47">
        <v>0</v>
      </c>
      <c r="S73" s="47">
        <f t="shared" si="42"/>
        <v>3498</v>
      </c>
      <c r="T73" s="47">
        <f t="shared" si="43"/>
        <v>975.1500000000001</v>
      </c>
      <c r="U73" s="47">
        <f t="shared" si="49"/>
        <v>2522.8500000000004</v>
      </c>
      <c r="V73" s="47">
        <f t="shared" si="6"/>
        <v>15399.85</v>
      </c>
      <c r="W73" s="51">
        <v>111</v>
      </c>
      <c r="X73" s="41"/>
      <c r="Y73" s="42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</row>
    <row r="74" spans="1:53" s="44" customFormat="1" ht="30">
      <c r="A74" s="50">
        <f t="shared" si="50"/>
        <v>66</v>
      </c>
      <c r="B74" s="38" t="s">
        <v>75</v>
      </c>
      <c r="C74" s="40" t="s">
        <v>163</v>
      </c>
      <c r="D74" s="38" t="s">
        <v>45</v>
      </c>
      <c r="E74" s="40" t="s">
        <v>167</v>
      </c>
      <c r="F74" s="40" t="s">
        <v>171</v>
      </c>
      <c r="G74" s="45">
        <v>16500</v>
      </c>
      <c r="H74" s="45">
        <v>0</v>
      </c>
      <c r="I74" s="47">
        <v>25</v>
      </c>
      <c r="J74" s="47">
        <v>100</v>
      </c>
      <c r="K74" s="47">
        <f t="shared" si="44"/>
        <v>473.55</v>
      </c>
      <c r="L74" s="47">
        <f t="shared" si="45"/>
        <v>1171.5</v>
      </c>
      <c r="M74" s="47">
        <f t="shared" si="46"/>
        <v>181.50000000000003</v>
      </c>
      <c r="N74" s="47">
        <f t="shared" si="47"/>
        <v>501.6</v>
      </c>
      <c r="O74" s="47">
        <f t="shared" si="48"/>
        <v>1169.8500000000001</v>
      </c>
      <c r="P74" s="47"/>
      <c r="Q74" s="47"/>
      <c r="R74" s="47">
        <v>0</v>
      </c>
      <c r="S74" s="47">
        <f t="shared" si="42"/>
        <v>3498</v>
      </c>
      <c r="T74" s="47">
        <f t="shared" si="43"/>
        <v>975.1500000000001</v>
      </c>
      <c r="U74" s="47">
        <f t="shared" si="49"/>
        <v>2522.8500000000004</v>
      </c>
      <c r="V74" s="47">
        <f t="shared" si="6"/>
        <v>15399.85</v>
      </c>
      <c r="W74" s="51">
        <v>111</v>
      </c>
      <c r="X74" s="41"/>
      <c r="Y74" s="42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</row>
    <row r="75" spans="1:53" s="44" customFormat="1" ht="30">
      <c r="A75" s="50">
        <f t="shared" si="50"/>
        <v>67</v>
      </c>
      <c r="B75" s="38" t="s">
        <v>89</v>
      </c>
      <c r="C75" s="40" t="s">
        <v>163</v>
      </c>
      <c r="D75" s="38" t="s">
        <v>45</v>
      </c>
      <c r="E75" s="40" t="s">
        <v>167</v>
      </c>
      <c r="F75" s="40" t="s">
        <v>172</v>
      </c>
      <c r="G75" s="47">
        <v>15000</v>
      </c>
      <c r="H75" s="45">
        <v>0</v>
      </c>
      <c r="I75" s="47">
        <v>25</v>
      </c>
      <c r="J75" s="47">
        <v>100</v>
      </c>
      <c r="K75" s="47">
        <f t="shared" si="44"/>
        <v>430.5</v>
      </c>
      <c r="L75" s="47">
        <f t="shared" si="45"/>
        <v>1065</v>
      </c>
      <c r="M75" s="47">
        <f t="shared" si="46"/>
        <v>165.00000000000003</v>
      </c>
      <c r="N75" s="47">
        <f t="shared" si="47"/>
        <v>456</v>
      </c>
      <c r="O75" s="47">
        <f t="shared" si="48"/>
        <v>1063.5</v>
      </c>
      <c r="P75" s="47"/>
      <c r="Q75" s="47"/>
      <c r="R75" s="47">
        <v>0</v>
      </c>
      <c r="S75" s="49">
        <f t="shared" si="42"/>
        <v>3180</v>
      </c>
      <c r="T75" s="47">
        <f t="shared" si="43"/>
        <v>886.5</v>
      </c>
      <c r="U75" s="47">
        <f t="shared" si="49"/>
        <v>2293.5</v>
      </c>
      <c r="V75" s="47">
        <f t="shared" si="6"/>
        <v>13988.5</v>
      </c>
      <c r="W75" s="51">
        <v>111</v>
      </c>
      <c r="X75" s="41"/>
      <c r="Y75" s="42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</row>
    <row r="76" spans="1:53" s="44" customFormat="1" ht="30">
      <c r="A76" s="50">
        <f t="shared" si="50"/>
        <v>68</v>
      </c>
      <c r="B76" s="38" t="s">
        <v>90</v>
      </c>
      <c r="C76" s="40" t="s">
        <v>163</v>
      </c>
      <c r="D76" s="38" t="s">
        <v>45</v>
      </c>
      <c r="E76" s="40" t="s">
        <v>167</v>
      </c>
      <c r="F76" s="40" t="s">
        <v>171</v>
      </c>
      <c r="G76" s="45">
        <v>15000</v>
      </c>
      <c r="H76" s="45">
        <v>0</v>
      </c>
      <c r="I76" s="47">
        <v>25</v>
      </c>
      <c r="J76" s="47">
        <v>100</v>
      </c>
      <c r="K76" s="47">
        <f t="shared" si="44"/>
        <v>430.5</v>
      </c>
      <c r="L76" s="47">
        <f t="shared" si="45"/>
        <v>1065</v>
      </c>
      <c r="M76" s="47">
        <f t="shared" si="46"/>
        <v>165.00000000000003</v>
      </c>
      <c r="N76" s="47">
        <f t="shared" si="47"/>
        <v>456</v>
      </c>
      <c r="O76" s="47">
        <f t="shared" si="48"/>
        <v>1063.5</v>
      </c>
      <c r="P76" s="47"/>
      <c r="Q76" s="47"/>
      <c r="R76" s="47">
        <v>0</v>
      </c>
      <c r="S76" s="47">
        <f t="shared" si="42"/>
        <v>3180</v>
      </c>
      <c r="T76" s="47">
        <f t="shared" si="43"/>
        <v>886.5</v>
      </c>
      <c r="U76" s="47">
        <f t="shared" si="49"/>
        <v>2293.5</v>
      </c>
      <c r="V76" s="47">
        <f aca="true" t="shared" si="51" ref="V76:V94">+G76-T76-H76-I76-R76-J76-P76-Q76</f>
        <v>13988.5</v>
      </c>
      <c r="W76" s="51">
        <v>111</v>
      </c>
      <c r="X76" s="41"/>
      <c r="Y76" s="42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</row>
    <row r="77" spans="1:53" s="44" customFormat="1" ht="30">
      <c r="A77" s="50">
        <f>A76+1</f>
        <v>69</v>
      </c>
      <c r="B77" s="38" t="s">
        <v>137</v>
      </c>
      <c r="C77" s="40" t="s">
        <v>163</v>
      </c>
      <c r="D77" s="38" t="s">
        <v>45</v>
      </c>
      <c r="E77" s="40" t="s">
        <v>167</v>
      </c>
      <c r="F77" s="40" t="s">
        <v>172</v>
      </c>
      <c r="G77" s="47">
        <v>16000</v>
      </c>
      <c r="H77" s="45">
        <v>0</v>
      </c>
      <c r="I77" s="47">
        <v>25</v>
      </c>
      <c r="J77" s="47">
        <v>100</v>
      </c>
      <c r="K77" s="47">
        <f aca="true" t="shared" si="52" ref="K77:K87">+G77*2.87%</f>
        <v>459.2</v>
      </c>
      <c r="L77" s="47">
        <f aca="true" t="shared" si="53" ref="L77:L87">+G77*7.1%</f>
        <v>1136</v>
      </c>
      <c r="M77" s="47">
        <f aca="true" t="shared" si="54" ref="M77:M87">+G77*1.1%</f>
        <v>176.00000000000003</v>
      </c>
      <c r="N77" s="47">
        <f aca="true" t="shared" si="55" ref="N77:N87">+G77*3.04%</f>
        <v>486.4</v>
      </c>
      <c r="O77" s="47">
        <f aca="true" t="shared" si="56" ref="O77:O87">+G77*7.09%</f>
        <v>1134.4</v>
      </c>
      <c r="P77" s="47"/>
      <c r="Q77" s="47"/>
      <c r="R77" s="47">
        <v>0</v>
      </c>
      <c r="S77" s="49">
        <f t="shared" si="42"/>
        <v>3392</v>
      </c>
      <c r="T77" s="47">
        <f t="shared" si="43"/>
        <v>945.5999999999999</v>
      </c>
      <c r="U77" s="47">
        <f aca="true" t="shared" si="57" ref="U77:U87">+L77+M77+O77</f>
        <v>2446.4</v>
      </c>
      <c r="V77" s="47">
        <f t="shared" si="51"/>
        <v>14929.4</v>
      </c>
      <c r="W77" s="51">
        <v>111</v>
      </c>
      <c r="X77" s="41"/>
      <c r="Y77" s="42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</row>
    <row r="78" spans="1:53" s="44" customFormat="1" ht="30">
      <c r="A78" s="50">
        <f aca="true" t="shared" si="58" ref="A78:A92">A77+1</f>
        <v>70</v>
      </c>
      <c r="B78" s="38" t="s">
        <v>143</v>
      </c>
      <c r="C78" s="40" t="s">
        <v>163</v>
      </c>
      <c r="D78" s="38" t="s">
        <v>45</v>
      </c>
      <c r="E78" s="40" t="s">
        <v>167</v>
      </c>
      <c r="F78" s="40" t="s">
        <v>172</v>
      </c>
      <c r="G78" s="45">
        <v>16000</v>
      </c>
      <c r="H78" s="45">
        <v>0</v>
      </c>
      <c r="I78" s="47">
        <v>25</v>
      </c>
      <c r="J78" s="47">
        <v>100</v>
      </c>
      <c r="K78" s="47">
        <f t="shared" si="52"/>
        <v>459.2</v>
      </c>
      <c r="L78" s="47">
        <f t="shared" si="53"/>
        <v>1136</v>
      </c>
      <c r="M78" s="47">
        <f t="shared" si="54"/>
        <v>176.00000000000003</v>
      </c>
      <c r="N78" s="47">
        <f t="shared" si="55"/>
        <v>486.4</v>
      </c>
      <c r="O78" s="47">
        <f t="shared" si="56"/>
        <v>1134.4</v>
      </c>
      <c r="P78" s="47"/>
      <c r="Q78" s="47"/>
      <c r="R78" s="47">
        <v>0</v>
      </c>
      <c r="S78" s="47">
        <f t="shared" si="42"/>
        <v>3392</v>
      </c>
      <c r="T78" s="47">
        <f t="shared" si="43"/>
        <v>945.5999999999999</v>
      </c>
      <c r="U78" s="47">
        <f t="shared" si="57"/>
        <v>2446.4</v>
      </c>
      <c r="V78" s="47">
        <f t="shared" si="51"/>
        <v>14929.4</v>
      </c>
      <c r="W78" s="51">
        <v>111</v>
      </c>
      <c r="X78" s="41"/>
      <c r="Y78" s="42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44" customFormat="1" ht="30">
      <c r="A79" s="50">
        <f t="shared" si="58"/>
        <v>71</v>
      </c>
      <c r="B79" s="38" t="s">
        <v>144</v>
      </c>
      <c r="C79" s="40" t="s">
        <v>163</v>
      </c>
      <c r="D79" s="38" t="s">
        <v>45</v>
      </c>
      <c r="E79" s="40" t="s">
        <v>167</v>
      </c>
      <c r="F79" s="40" t="s">
        <v>172</v>
      </c>
      <c r="G79" s="45">
        <v>16000</v>
      </c>
      <c r="H79" s="45">
        <v>0</v>
      </c>
      <c r="I79" s="47">
        <v>25</v>
      </c>
      <c r="J79" s="47">
        <v>100</v>
      </c>
      <c r="K79" s="47">
        <f t="shared" si="52"/>
        <v>459.2</v>
      </c>
      <c r="L79" s="47">
        <f t="shared" si="53"/>
        <v>1136</v>
      </c>
      <c r="M79" s="47">
        <f t="shared" si="54"/>
        <v>176.00000000000003</v>
      </c>
      <c r="N79" s="47">
        <f t="shared" si="55"/>
        <v>486.4</v>
      </c>
      <c r="O79" s="47">
        <f t="shared" si="56"/>
        <v>1134.4</v>
      </c>
      <c r="P79" s="47"/>
      <c r="Q79" s="47"/>
      <c r="R79" s="47">
        <v>0</v>
      </c>
      <c r="S79" s="47">
        <f t="shared" si="42"/>
        <v>3392</v>
      </c>
      <c r="T79" s="47">
        <f t="shared" si="43"/>
        <v>945.5999999999999</v>
      </c>
      <c r="U79" s="47">
        <f t="shared" si="57"/>
        <v>2446.4</v>
      </c>
      <c r="V79" s="47">
        <f t="shared" si="51"/>
        <v>14929.4</v>
      </c>
      <c r="W79" s="51">
        <v>111</v>
      </c>
      <c r="X79" s="41"/>
      <c r="Y79" s="42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</row>
    <row r="80" spans="1:53" s="44" customFormat="1" ht="30">
      <c r="A80" s="50">
        <f>A79+1</f>
        <v>72</v>
      </c>
      <c r="B80" s="38" t="s">
        <v>248</v>
      </c>
      <c r="C80" s="40" t="s">
        <v>163</v>
      </c>
      <c r="D80" s="38" t="s">
        <v>45</v>
      </c>
      <c r="E80" s="40" t="s">
        <v>167</v>
      </c>
      <c r="F80" s="40" t="s">
        <v>172</v>
      </c>
      <c r="G80" s="45">
        <v>16000</v>
      </c>
      <c r="H80" s="45">
        <v>0</v>
      </c>
      <c r="I80" s="47">
        <v>25</v>
      </c>
      <c r="J80" s="47"/>
      <c r="K80" s="47">
        <f>+G80*2.87%</f>
        <v>459.2</v>
      </c>
      <c r="L80" s="47">
        <f>+G80*7.1%</f>
        <v>1136</v>
      </c>
      <c r="M80" s="47">
        <f>+G80*1.1%</f>
        <v>176.00000000000003</v>
      </c>
      <c r="N80" s="47">
        <f>+G80*3.04%</f>
        <v>486.4</v>
      </c>
      <c r="O80" s="47">
        <f>+G80*7.09%</f>
        <v>1134.4</v>
      </c>
      <c r="P80" s="47"/>
      <c r="Q80" s="47"/>
      <c r="R80" s="47">
        <v>0</v>
      </c>
      <c r="S80" s="47">
        <f>SUM(K80:R80)</f>
        <v>3392</v>
      </c>
      <c r="T80" s="47">
        <f>+K80+N80</f>
        <v>945.5999999999999</v>
      </c>
      <c r="U80" s="47">
        <f>+L80+M80+O80</f>
        <v>2446.4</v>
      </c>
      <c r="V80" s="47">
        <f>+G80-T80-H80-I80-R80-J80-P80-Q80</f>
        <v>15029.4</v>
      </c>
      <c r="W80" s="51">
        <v>111</v>
      </c>
      <c r="X80" s="41"/>
      <c r="Y80" s="42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</row>
    <row r="81" spans="1:53" s="44" customFormat="1" ht="30">
      <c r="A81" s="50">
        <f>A80+1</f>
        <v>73</v>
      </c>
      <c r="B81" s="38" t="s">
        <v>249</v>
      </c>
      <c r="C81" s="40" t="s">
        <v>163</v>
      </c>
      <c r="D81" s="38" t="s">
        <v>45</v>
      </c>
      <c r="E81" s="40" t="s">
        <v>167</v>
      </c>
      <c r="F81" s="40" t="s">
        <v>172</v>
      </c>
      <c r="G81" s="45">
        <v>16000</v>
      </c>
      <c r="H81" s="45">
        <v>0</v>
      </c>
      <c r="I81" s="47">
        <v>25</v>
      </c>
      <c r="J81" s="47"/>
      <c r="K81" s="47">
        <f>+G81*2.87%</f>
        <v>459.2</v>
      </c>
      <c r="L81" s="47">
        <f>+G81*7.1%</f>
        <v>1136</v>
      </c>
      <c r="M81" s="47">
        <f>+G81*1.1%</f>
        <v>176.00000000000003</v>
      </c>
      <c r="N81" s="47">
        <f>+G81*3.04%</f>
        <v>486.4</v>
      </c>
      <c r="O81" s="47">
        <f>+G81*7.09%</f>
        <v>1134.4</v>
      </c>
      <c r="P81" s="47"/>
      <c r="Q81" s="47"/>
      <c r="R81" s="47">
        <v>0</v>
      </c>
      <c r="S81" s="47">
        <f>SUM(K81:R81)</f>
        <v>3392</v>
      </c>
      <c r="T81" s="47">
        <f>+K81+N81</f>
        <v>945.5999999999999</v>
      </c>
      <c r="U81" s="47">
        <f>+L81+M81+O81</f>
        <v>2446.4</v>
      </c>
      <c r="V81" s="47">
        <f>+G81-T81-H81-I81-R81-J81-P81-Q81</f>
        <v>15029.4</v>
      </c>
      <c r="W81" s="51">
        <v>111</v>
      </c>
      <c r="X81" s="41"/>
      <c r="Y81" s="42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</row>
    <row r="82" spans="1:53" s="44" customFormat="1" ht="30">
      <c r="A82" s="50">
        <f>A81+1</f>
        <v>74</v>
      </c>
      <c r="B82" s="38" t="s">
        <v>120</v>
      </c>
      <c r="C82" s="40" t="s">
        <v>163</v>
      </c>
      <c r="D82" s="38" t="s">
        <v>121</v>
      </c>
      <c r="E82" s="40" t="s">
        <v>167</v>
      </c>
      <c r="F82" s="40" t="s">
        <v>171</v>
      </c>
      <c r="G82" s="45">
        <v>22000</v>
      </c>
      <c r="H82" s="45">
        <v>0</v>
      </c>
      <c r="I82" s="47">
        <v>25</v>
      </c>
      <c r="J82" s="47">
        <v>100</v>
      </c>
      <c r="K82" s="47">
        <f t="shared" si="52"/>
        <v>631.4</v>
      </c>
      <c r="L82" s="47">
        <f t="shared" si="53"/>
        <v>1561.9999999999998</v>
      </c>
      <c r="M82" s="47">
        <f t="shared" si="54"/>
        <v>242.00000000000003</v>
      </c>
      <c r="N82" s="47">
        <f t="shared" si="55"/>
        <v>668.8</v>
      </c>
      <c r="O82" s="47">
        <f t="shared" si="56"/>
        <v>1559.8000000000002</v>
      </c>
      <c r="P82" s="47"/>
      <c r="Q82" s="47"/>
      <c r="R82" s="47">
        <v>0</v>
      </c>
      <c r="S82" s="47">
        <f t="shared" si="42"/>
        <v>4664</v>
      </c>
      <c r="T82" s="47">
        <f t="shared" si="43"/>
        <v>1300.1999999999998</v>
      </c>
      <c r="U82" s="47">
        <f t="shared" si="57"/>
        <v>3363.8</v>
      </c>
      <c r="V82" s="47">
        <f t="shared" si="51"/>
        <v>20574.8</v>
      </c>
      <c r="W82" s="51">
        <v>111</v>
      </c>
      <c r="X82" s="41"/>
      <c r="Y82" s="42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</row>
    <row r="83" spans="1:53" s="44" customFormat="1" ht="30">
      <c r="A83" s="50">
        <f t="shared" si="58"/>
        <v>75</v>
      </c>
      <c r="B83" s="38" t="s">
        <v>122</v>
      </c>
      <c r="C83" s="40" t="s">
        <v>163</v>
      </c>
      <c r="D83" s="38" t="s">
        <v>121</v>
      </c>
      <c r="E83" s="40" t="s">
        <v>167</v>
      </c>
      <c r="F83" s="40" t="s">
        <v>171</v>
      </c>
      <c r="G83" s="45">
        <v>22000</v>
      </c>
      <c r="H83" s="45">
        <v>0</v>
      </c>
      <c r="I83" s="47">
        <v>25</v>
      </c>
      <c r="J83" s="47">
        <v>100</v>
      </c>
      <c r="K83" s="47">
        <f t="shared" si="52"/>
        <v>631.4</v>
      </c>
      <c r="L83" s="47">
        <f t="shared" si="53"/>
        <v>1561.9999999999998</v>
      </c>
      <c r="M83" s="47">
        <f t="shared" si="54"/>
        <v>242.00000000000003</v>
      </c>
      <c r="N83" s="47">
        <f t="shared" si="55"/>
        <v>668.8</v>
      </c>
      <c r="O83" s="47">
        <f t="shared" si="56"/>
        <v>1559.8000000000002</v>
      </c>
      <c r="P83" s="47"/>
      <c r="Q83" s="47"/>
      <c r="R83" s="47">
        <v>0</v>
      </c>
      <c r="S83" s="47">
        <f t="shared" si="42"/>
        <v>4664</v>
      </c>
      <c r="T83" s="47">
        <f t="shared" si="43"/>
        <v>1300.1999999999998</v>
      </c>
      <c r="U83" s="47">
        <f t="shared" si="57"/>
        <v>3363.8</v>
      </c>
      <c r="V83" s="47">
        <f t="shared" si="51"/>
        <v>20574.8</v>
      </c>
      <c r="W83" s="51">
        <v>111</v>
      </c>
      <c r="X83" s="41"/>
      <c r="Y83" s="42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</row>
    <row r="84" spans="1:53" s="44" customFormat="1" ht="30">
      <c r="A84" s="50">
        <f t="shared" si="58"/>
        <v>76</v>
      </c>
      <c r="B84" s="38" t="s">
        <v>123</v>
      </c>
      <c r="C84" s="40" t="s">
        <v>163</v>
      </c>
      <c r="D84" s="38" t="s">
        <v>121</v>
      </c>
      <c r="E84" s="40" t="s">
        <v>167</v>
      </c>
      <c r="F84" s="40" t="s">
        <v>171</v>
      </c>
      <c r="G84" s="45">
        <v>22000</v>
      </c>
      <c r="H84" s="45">
        <v>0</v>
      </c>
      <c r="I84" s="47">
        <v>25</v>
      </c>
      <c r="J84" s="47">
        <v>100</v>
      </c>
      <c r="K84" s="47">
        <f t="shared" si="52"/>
        <v>631.4</v>
      </c>
      <c r="L84" s="47">
        <f t="shared" si="53"/>
        <v>1561.9999999999998</v>
      </c>
      <c r="M84" s="47">
        <f t="shared" si="54"/>
        <v>242.00000000000003</v>
      </c>
      <c r="N84" s="47">
        <f t="shared" si="55"/>
        <v>668.8</v>
      </c>
      <c r="O84" s="47">
        <f t="shared" si="56"/>
        <v>1559.8000000000002</v>
      </c>
      <c r="P84" s="47"/>
      <c r="Q84" s="47"/>
      <c r="R84" s="47">
        <v>0</v>
      </c>
      <c r="S84" s="47">
        <f t="shared" si="42"/>
        <v>4664</v>
      </c>
      <c r="T84" s="47">
        <f t="shared" si="43"/>
        <v>1300.1999999999998</v>
      </c>
      <c r="U84" s="47">
        <f t="shared" si="57"/>
        <v>3363.8</v>
      </c>
      <c r="V84" s="47">
        <f t="shared" si="51"/>
        <v>20574.8</v>
      </c>
      <c r="W84" s="51">
        <v>111</v>
      </c>
      <c r="X84" s="41"/>
      <c r="Y84" s="42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</row>
    <row r="85" spans="1:53" s="44" customFormat="1" ht="30">
      <c r="A85" s="50">
        <f t="shared" si="58"/>
        <v>77</v>
      </c>
      <c r="B85" s="38" t="s">
        <v>136</v>
      </c>
      <c r="C85" s="40" t="s">
        <v>163</v>
      </c>
      <c r="D85" s="38" t="s">
        <v>121</v>
      </c>
      <c r="E85" s="40" t="s">
        <v>167</v>
      </c>
      <c r="F85" s="40" t="s">
        <v>171</v>
      </c>
      <c r="G85" s="45">
        <v>22000</v>
      </c>
      <c r="H85" s="45">
        <v>0</v>
      </c>
      <c r="I85" s="47">
        <v>25</v>
      </c>
      <c r="J85" s="47">
        <v>100</v>
      </c>
      <c r="K85" s="47">
        <f t="shared" si="52"/>
        <v>631.4</v>
      </c>
      <c r="L85" s="47">
        <f t="shared" si="53"/>
        <v>1561.9999999999998</v>
      </c>
      <c r="M85" s="47">
        <f t="shared" si="54"/>
        <v>242.00000000000003</v>
      </c>
      <c r="N85" s="47">
        <f t="shared" si="55"/>
        <v>668.8</v>
      </c>
      <c r="O85" s="47">
        <f t="shared" si="56"/>
        <v>1559.8000000000002</v>
      </c>
      <c r="P85" s="47"/>
      <c r="Q85" s="47"/>
      <c r="R85" s="47">
        <v>0</v>
      </c>
      <c r="S85" s="47">
        <f t="shared" si="42"/>
        <v>4664</v>
      </c>
      <c r="T85" s="47">
        <f t="shared" si="43"/>
        <v>1300.1999999999998</v>
      </c>
      <c r="U85" s="47">
        <f t="shared" si="57"/>
        <v>3363.8</v>
      </c>
      <c r="V85" s="47">
        <f t="shared" si="51"/>
        <v>20574.8</v>
      </c>
      <c r="W85" s="51">
        <v>111</v>
      </c>
      <c r="X85" s="41"/>
      <c r="Y85" s="42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</row>
    <row r="86" spans="1:53" s="44" customFormat="1" ht="30">
      <c r="A86" s="50">
        <f t="shared" si="58"/>
        <v>78</v>
      </c>
      <c r="B86" s="38" t="s">
        <v>140</v>
      </c>
      <c r="C86" s="40" t="s">
        <v>163</v>
      </c>
      <c r="D86" s="38" t="s">
        <v>121</v>
      </c>
      <c r="E86" s="40" t="s">
        <v>167</v>
      </c>
      <c r="F86" s="40" t="s">
        <v>171</v>
      </c>
      <c r="G86" s="45">
        <v>22000</v>
      </c>
      <c r="H86" s="45">
        <v>0</v>
      </c>
      <c r="I86" s="47">
        <v>25</v>
      </c>
      <c r="J86" s="47"/>
      <c r="K86" s="47">
        <f t="shared" si="52"/>
        <v>631.4</v>
      </c>
      <c r="L86" s="47">
        <f t="shared" si="53"/>
        <v>1561.9999999999998</v>
      </c>
      <c r="M86" s="47">
        <f t="shared" si="54"/>
        <v>242.00000000000003</v>
      </c>
      <c r="N86" s="47">
        <f t="shared" si="55"/>
        <v>668.8</v>
      </c>
      <c r="O86" s="47">
        <f t="shared" si="56"/>
        <v>1559.8000000000002</v>
      </c>
      <c r="P86" s="47"/>
      <c r="Q86" s="47"/>
      <c r="R86" s="47">
        <v>0</v>
      </c>
      <c r="S86" s="47">
        <f t="shared" si="42"/>
        <v>4664</v>
      </c>
      <c r="T86" s="47">
        <f t="shared" si="43"/>
        <v>1300.1999999999998</v>
      </c>
      <c r="U86" s="47">
        <f t="shared" si="57"/>
        <v>3363.8</v>
      </c>
      <c r="V86" s="47">
        <f t="shared" si="51"/>
        <v>20674.8</v>
      </c>
      <c r="W86" s="51">
        <v>111</v>
      </c>
      <c r="X86" s="41"/>
      <c r="Y86" s="42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</row>
    <row r="87" spans="1:53" s="44" customFormat="1" ht="30">
      <c r="A87" s="50">
        <f t="shared" si="58"/>
        <v>79</v>
      </c>
      <c r="B87" s="38" t="s">
        <v>149</v>
      </c>
      <c r="C87" s="40" t="s">
        <v>163</v>
      </c>
      <c r="D87" s="38" t="s">
        <v>121</v>
      </c>
      <c r="E87" s="40" t="s">
        <v>167</v>
      </c>
      <c r="F87" s="40" t="s">
        <v>171</v>
      </c>
      <c r="G87" s="45">
        <v>22000</v>
      </c>
      <c r="H87" s="45">
        <v>0</v>
      </c>
      <c r="I87" s="47">
        <v>25</v>
      </c>
      <c r="J87" s="47"/>
      <c r="K87" s="47">
        <f t="shared" si="52"/>
        <v>631.4</v>
      </c>
      <c r="L87" s="47">
        <f t="shared" si="53"/>
        <v>1561.9999999999998</v>
      </c>
      <c r="M87" s="47">
        <f t="shared" si="54"/>
        <v>242.00000000000003</v>
      </c>
      <c r="N87" s="47">
        <f t="shared" si="55"/>
        <v>668.8</v>
      </c>
      <c r="O87" s="47">
        <f t="shared" si="56"/>
        <v>1559.8000000000002</v>
      </c>
      <c r="P87" s="47"/>
      <c r="Q87" s="47"/>
      <c r="R87" s="47">
        <v>0</v>
      </c>
      <c r="S87" s="47">
        <f t="shared" si="42"/>
        <v>4664</v>
      </c>
      <c r="T87" s="47">
        <f t="shared" si="43"/>
        <v>1300.1999999999998</v>
      </c>
      <c r="U87" s="47">
        <f t="shared" si="57"/>
        <v>3363.8</v>
      </c>
      <c r="V87" s="47">
        <f t="shared" si="51"/>
        <v>20674.8</v>
      </c>
      <c r="W87" s="51">
        <v>111</v>
      </c>
      <c r="X87" s="41"/>
      <c r="Y87" s="42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</row>
    <row r="88" spans="1:53" s="44" customFormat="1" ht="30">
      <c r="A88" s="50">
        <f>A87+1</f>
        <v>80</v>
      </c>
      <c r="B88" s="38" t="s">
        <v>233</v>
      </c>
      <c r="C88" s="40" t="s">
        <v>163</v>
      </c>
      <c r="D88" s="38" t="s">
        <v>232</v>
      </c>
      <c r="E88" s="40" t="s">
        <v>167</v>
      </c>
      <c r="F88" s="40" t="s">
        <v>171</v>
      </c>
      <c r="G88" s="45">
        <v>22000</v>
      </c>
      <c r="H88" s="45">
        <v>0</v>
      </c>
      <c r="I88" s="47">
        <v>25</v>
      </c>
      <c r="J88" s="47">
        <v>100</v>
      </c>
      <c r="K88" s="47">
        <f>+G88*2.87%</f>
        <v>631.4</v>
      </c>
      <c r="L88" s="47">
        <f>+G88*7.1%</f>
        <v>1561.9999999999998</v>
      </c>
      <c r="M88" s="47">
        <f>+G88*1.1%</f>
        <v>242.00000000000003</v>
      </c>
      <c r="N88" s="47">
        <f>+G88*3.04%</f>
        <v>668.8</v>
      </c>
      <c r="O88" s="47">
        <f>+G88*7.09%</f>
        <v>1559.8000000000002</v>
      </c>
      <c r="P88" s="47"/>
      <c r="Q88" s="47"/>
      <c r="R88" s="47">
        <v>0</v>
      </c>
      <c r="S88" s="47">
        <f>SUM(K88:R88)</f>
        <v>4664</v>
      </c>
      <c r="T88" s="47">
        <f>+K88+N88</f>
        <v>1300.1999999999998</v>
      </c>
      <c r="U88" s="47">
        <f>+L88+M88+O88</f>
        <v>3363.8</v>
      </c>
      <c r="V88" s="47">
        <f t="shared" si="51"/>
        <v>20574.8</v>
      </c>
      <c r="W88" s="51">
        <v>111</v>
      </c>
      <c r="X88" s="41"/>
      <c r="Y88" s="42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</row>
    <row r="89" spans="1:53" s="44" customFormat="1" ht="30">
      <c r="A89" s="50">
        <f>A88+1</f>
        <v>81</v>
      </c>
      <c r="B89" s="38" t="s">
        <v>26</v>
      </c>
      <c r="C89" s="40" t="s">
        <v>163</v>
      </c>
      <c r="D89" s="38" t="s">
        <v>53</v>
      </c>
      <c r="E89" s="40" t="s">
        <v>167</v>
      </c>
      <c r="F89" s="40" t="s">
        <v>171</v>
      </c>
      <c r="G89" s="45">
        <v>16500</v>
      </c>
      <c r="H89" s="45">
        <v>0</v>
      </c>
      <c r="I89" s="47">
        <v>25</v>
      </c>
      <c r="J89" s="47">
        <v>100</v>
      </c>
      <c r="K89" s="47">
        <f t="shared" si="44"/>
        <v>473.55</v>
      </c>
      <c r="L89" s="47">
        <f t="shared" si="45"/>
        <v>1171.5</v>
      </c>
      <c r="M89" s="47">
        <f t="shared" si="46"/>
        <v>181.50000000000003</v>
      </c>
      <c r="N89" s="47">
        <f t="shared" si="47"/>
        <v>501.6</v>
      </c>
      <c r="O89" s="47">
        <f t="shared" si="48"/>
        <v>1169.8500000000001</v>
      </c>
      <c r="P89" s="47"/>
      <c r="Q89" s="47"/>
      <c r="R89" s="47">
        <v>0</v>
      </c>
      <c r="S89" s="47">
        <f t="shared" si="42"/>
        <v>3498</v>
      </c>
      <c r="T89" s="47">
        <f t="shared" si="43"/>
        <v>975.1500000000001</v>
      </c>
      <c r="U89" s="47">
        <f t="shared" si="49"/>
        <v>2522.8500000000004</v>
      </c>
      <c r="V89" s="47">
        <f t="shared" si="51"/>
        <v>15399.85</v>
      </c>
      <c r="W89" s="51">
        <v>111</v>
      </c>
      <c r="X89" s="41"/>
      <c r="Y89" s="42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</row>
    <row r="90" spans="1:53" s="44" customFormat="1" ht="30">
      <c r="A90" s="50">
        <f t="shared" si="58"/>
        <v>82</v>
      </c>
      <c r="B90" s="38" t="s">
        <v>27</v>
      </c>
      <c r="C90" s="40" t="s">
        <v>163</v>
      </c>
      <c r="D90" s="38" t="s">
        <v>53</v>
      </c>
      <c r="E90" s="40" t="s">
        <v>167</v>
      </c>
      <c r="F90" s="40" t="s">
        <v>171</v>
      </c>
      <c r="G90" s="45">
        <v>16500</v>
      </c>
      <c r="H90" s="45">
        <v>0</v>
      </c>
      <c r="I90" s="47">
        <v>25</v>
      </c>
      <c r="J90" s="47">
        <v>100</v>
      </c>
      <c r="K90" s="47">
        <f t="shared" si="44"/>
        <v>473.55</v>
      </c>
      <c r="L90" s="47">
        <f t="shared" si="45"/>
        <v>1171.5</v>
      </c>
      <c r="M90" s="47">
        <f t="shared" si="46"/>
        <v>181.50000000000003</v>
      </c>
      <c r="N90" s="47">
        <f t="shared" si="47"/>
        <v>501.6</v>
      </c>
      <c r="O90" s="47">
        <f t="shared" si="48"/>
        <v>1169.8500000000001</v>
      </c>
      <c r="P90" s="47"/>
      <c r="Q90" s="47"/>
      <c r="R90" s="47">
        <v>0</v>
      </c>
      <c r="S90" s="47">
        <f t="shared" si="42"/>
        <v>3498</v>
      </c>
      <c r="T90" s="47">
        <f t="shared" si="43"/>
        <v>975.1500000000001</v>
      </c>
      <c r="U90" s="47">
        <f t="shared" si="49"/>
        <v>2522.8500000000004</v>
      </c>
      <c r="V90" s="47">
        <f t="shared" si="51"/>
        <v>15399.85</v>
      </c>
      <c r="W90" s="51">
        <v>111</v>
      </c>
      <c r="X90" s="41"/>
      <c r="Y90" s="42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</row>
    <row r="91" spans="1:53" s="44" customFormat="1" ht="30">
      <c r="A91" s="50">
        <f t="shared" si="58"/>
        <v>83</v>
      </c>
      <c r="B91" s="38" t="s">
        <v>28</v>
      </c>
      <c r="C91" s="40" t="s">
        <v>163</v>
      </c>
      <c r="D91" s="38" t="s">
        <v>53</v>
      </c>
      <c r="E91" s="40" t="s">
        <v>167</v>
      </c>
      <c r="F91" s="40" t="s">
        <v>171</v>
      </c>
      <c r="G91" s="45">
        <v>16500</v>
      </c>
      <c r="H91" s="45">
        <v>0</v>
      </c>
      <c r="I91" s="47">
        <v>25</v>
      </c>
      <c r="J91" s="47"/>
      <c r="K91" s="47">
        <f t="shared" si="44"/>
        <v>473.55</v>
      </c>
      <c r="L91" s="47">
        <f t="shared" si="45"/>
        <v>1171.5</v>
      </c>
      <c r="M91" s="47">
        <f t="shared" si="46"/>
        <v>181.50000000000003</v>
      </c>
      <c r="N91" s="47">
        <f t="shared" si="47"/>
        <v>501.6</v>
      </c>
      <c r="O91" s="47">
        <f t="shared" si="48"/>
        <v>1169.8500000000001</v>
      </c>
      <c r="P91" s="47"/>
      <c r="Q91" s="47"/>
      <c r="R91" s="47">
        <v>0</v>
      </c>
      <c r="S91" s="47">
        <f t="shared" si="42"/>
        <v>3498</v>
      </c>
      <c r="T91" s="47">
        <f t="shared" si="43"/>
        <v>975.1500000000001</v>
      </c>
      <c r="U91" s="47">
        <f t="shared" si="49"/>
        <v>2522.8500000000004</v>
      </c>
      <c r="V91" s="47">
        <f t="shared" si="51"/>
        <v>15499.85</v>
      </c>
      <c r="W91" s="51">
        <v>111</v>
      </c>
      <c r="X91" s="41"/>
      <c r="Y91" s="42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</row>
    <row r="92" spans="1:53" s="44" customFormat="1" ht="30">
      <c r="A92" s="50">
        <f t="shared" si="58"/>
        <v>84</v>
      </c>
      <c r="B92" s="38" t="s">
        <v>29</v>
      </c>
      <c r="C92" s="40" t="s">
        <v>163</v>
      </c>
      <c r="D92" s="38" t="s">
        <v>53</v>
      </c>
      <c r="E92" s="40" t="s">
        <v>167</v>
      </c>
      <c r="F92" s="40" t="s">
        <v>171</v>
      </c>
      <c r="G92" s="45">
        <v>16500</v>
      </c>
      <c r="H92" s="45">
        <v>0</v>
      </c>
      <c r="I92" s="47">
        <v>25</v>
      </c>
      <c r="J92" s="47">
        <v>100</v>
      </c>
      <c r="K92" s="47">
        <f t="shared" si="44"/>
        <v>473.55</v>
      </c>
      <c r="L92" s="47">
        <f t="shared" si="45"/>
        <v>1171.5</v>
      </c>
      <c r="M92" s="47">
        <f t="shared" si="46"/>
        <v>181.50000000000003</v>
      </c>
      <c r="N92" s="47">
        <f t="shared" si="47"/>
        <v>501.6</v>
      </c>
      <c r="O92" s="47">
        <f t="shared" si="48"/>
        <v>1169.8500000000001</v>
      </c>
      <c r="P92" s="47"/>
      <c r="Q92" s="47"/>
      <c r="R92" s="47">
        <v>1350.12</v>
      </c>
      <c r="S92" s="47">
        <f t="shared" si="42"/>
        <v>4848.12</v>
      </c>
      <c r="T92" s="47">
        <f t="shared" si="43"/>
        <v>975.1500000000001</v>
      </c>
      <c r="U92" s="47">
        <f t="shared" si="49"/>
        <v>2522.8500000000004</v>
      </c>
      <c r="V92" s="47">
        <f t="shared" si="51"/>
        <v>14049.73</v>
      </c>
      <c r="W92" s="51">
        <v>111</v>
      </c>
      <c r="X92" s="41"/>
      <c r="Y92" s="42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</row>
    <row r="93" spans="1:53" s="44" customFormat="1" ht="30">
      <c r="A93" s="50">
        <f>A92+1</f>
        <v>85</v>
      </c>
      <c r="B93" s="38" t="s">
        <v>73</v>
      </c>
      <c r="C93" s="40" t="s">
        <v>163</v>
      </c>
      <c r="D93" s="38" t="s">
        <v>53</v>
      </c>
      <c r="E93" s="40" t="s">
        <v>167</v>
      </c>
      <c r="F93" s="40" t="s">
        <v>171</v>
      </c>
      <c r="G93" s="45">
        <v>13200</v>
      </c>
      <c r="H93" s="45">
        <v>0</v>
      </c>
      <c r="I93" s="47">
        <v>25</v>
      </c>
      <c r="J93" s="47">
        <v>100</v>
      </c>
      <c r="K93" s="47">
        <f t="shared" si="44"/>
        <v>378.84</v>
      </c>
      <c r="L93" s="47">
        <f t="shared" si="45"/>
        <v>937.1999999999999</v>
      </c>
      <c r="M93" s="47">
        <f t="shared" si="46"/>
        <v>145.20000000000002</v>
      </c>
      <c r="N93" s="47">
        <f t="shared" si="47"/>
        <v>401.28</v>
      </c>
      <c r="O93" s="47">
        <f t="shared" si="48"/>
        <v>935.8800000000001</v>
      </c>
      <c r="P93" s="47"/>
      <c r="Q93" s="47"/>
      <c r="R93" s="47"/>
      <c r="S93" s="47">
        <f t="shared" si="42"/>
        <v>2798.4</v>
      </c>
      <c r="T93" s="47">
        <f t="shared" si="43"/>
        <v>780.1199999999999</v>
      </c>
      <c r="U93" s="47">
        <f t="shared" si="49"/>
        <v>2018.28</v>
      </c>
      <c r="V93" s="47">
        <f t="shared" si="51"/>
        <v>12294.880000000001</v>
      </c>
      <c r="W93" s="51">
        <v>111</v>
      </c>
      <c r="X93" s="41"/>
      <c r="Y93" s="42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</row>
    <row r="94" spans="1:53" s="44" customFormat="1" ht="45">
      <c r="A94" s="50">
        <f>A93+1</f>
        <v>86</v>
      </c>
      <c r="B94" s="38" t="s">
        <v>33</v>
      </c>
      <c r="C94" s="40" t="s">
        <v>164</v>
      </c>
      <c r="D94" s="38" t="s">
        <v>48</v>
      </c>
      <c r="E94" s="40" t="s">
        <v>167</v>
      </c>
      <c r="F94" s="40" t="s">
        <v>171</v>
      </c>
      <c r="G94" s="45">
        <v>35000</v>
      </c>
      <c r="H94" s="45">
        <v>0</v>
      </c>
      <c r="I94" s="47">
        <v>25</v>
      </c>
      <c r="J94" s="47">
        <v>100</v>
      </c>
      <c r="K94" s="47">
        <f>+G94*2.87%</f>
        <v>1004.5</v>
      </c>
      <c r="L94" s="47">
        <f>+G94*7.1%</f>
        <v>2485</v>
      </c>
      <c r="M94" s="47">
        <f>+G94*1.1%</f>
        <v>385.00000000000006</v>
      </c>
      <c r="N94" s="47">
        <f>+G94*3.04%</f>
        <v>1064</v>
      </c>
      <c r="O94" s="47">
        <f>+G94*7.09%</f>
        <v>2481.5</v>
      </c>
      <c r="P94" s="47"/>
      <c r="Q94" s="47"/>
      <c r="R94" s="47">
        <v>0</v>
      </c>
      <c r="S94" s="47">
        <f>SUM(K94:R94)</f>
        <v>7420</v>
      </c>
      <c r="T94" s="47">
        <f>+K94+N94</f>
        <v>2068.5</v>
      </c>
      <c r="U94" s="47">
        <f>+L94+M94+O94</f>
        <v>5351.5</v>
      </c>
      <c r="V94" s="47">
        <f t="shared" si="51"/>
        <v>32806.5</v>
      </c>
      <c r="W94" s="51">
        <v>111</v>
      </c>
      <c r="X94" s="41"/>
      <c r="Y94" s="42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</row>
    <row r="95" spans="1:53" s="44" customFormat="1" ht="45" thickBot="1">
      <c r="A95" s="52">
        <f>A94+1</f>
        <v>87</v>
      </c>
      <c r="B95" s="53" t="s">
        <v>5</v>
      </c>
      <c r="C95" s="75" t="s">
        <v>164</v>
      </c>
      <c r="D95" s="53" t="s">
        <v>48</v>
      </c>
      <c r="E95" s="75" t="s">
        <v>167</v>
      </c>
      <c r="F95" s="75" t="s">
        <v>171</v>
      </c>
      <c r="G95" s="54">
        <v>35000</v>
      </c>
      <c r="H95" s="54">
        <v>0</v>
      </c>
      <c r="I95" s="55">
        <v>25</v>
      </c>
      <c r="J95" s="55">
        <v>100</v>
      </c>
      <c r="K95" s="55">
        <f>+G95*2.87%</f>
        <v>1004.5</v>
      </c>
      <c r="L95" s="55">
        <f>+G95*7.1%</f>
        <v>2485</v>
      </c>
      <c r="M95" s="55">
        <f>+G95*1.1%</f>
        <v>385.00000000000006</v>
      </c>
      <c r="N95" s="55">
        <f>+G95*3.04%</f>
        <v>1064</v>
      </c>
      <c r="O95" s="55">
        <f>+G95*7.09%</f>
        <v>2481.5</v>
      </c>
      <c r="P95" s="55">
        <v>1800</v>
      </c>
      <c r="Q95" s="55"/>
      <c r="R95" s="55"/>
      <c r="S95" s="55">
        <f>SUM(K95:R95)</f>
        <v>9220</v>
      </c>
      <c r="T95" s="55">
        <f>+K95+N95</f>
        <v>2068.5</v>
      </c>
      <c r="U95" s="55">
        <f>+L95+M95+O95</f>
        <v>5351.5</v>
      </c>
      <c r="V95" s="47">
        <f>+G95-T95-H95-I95-R95-J95-P95-Q95</f>
        <v>31006.5</v>
      </c>
      <c r="W95" s="56">
        <v>111</v>
      </c>
      <c r="X95" s="41"/>
      <c r="Y95" s="42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</row>
    <row r="96" spans="1:53" s="74" customFormat="1" ht="15.75" thickBot="1">
      <c r="A96" s="65"/>
      <c r="B96" s="156" t="s">
        <v>213</v>
      </c>
      <c r="C96" s="157"/>
      <c r="D96" s="157"/>
      <c r="E96" s="157"/>
      <c r="F96" s="158"/>
      <c r="G96" s="69">
        <f>SUM(G9:$G$95)</f>
        <v>3720792.0300000003</v>
      </c>
      <c r="H96" s="69">
        <f>SUM(H9:$H$95)</f>
        <v>252822.63999999998</v>
      </c>
      <c r="I96" s="69">
        <f>SUM(I9:I95)</f>
        <v>2175</v>
      </c>
      <c r="J96" s="70">
        <f>SUM(J9:J95)</f>
        <v>7600</v>
      </c>
      <c r="K96" s="69">
        <f>SUM(K9:$K$95)</f>
        <v>106786.73126099996</v>
      </c>
      <c r="L96" s="69">
        <f>SUM(L9:$L$95)</f>
        <v>264176.23413</v>
      </c>
      <c r="M96" s="69">
        <f>SUM(M9:$M$95)</f>
        <v>32359.79791</v>
      </c>
      <c r="N96" s="69">
        <f>SUM(N9:$N$95)</f>
        <v>110919.47771200007</v>
      </c>
      <c r="O96" s="69">
        <f>SUM(O9:$O$95)</f>
        <v>258690.492427</v>
      </c>
      <c r="P96" s="71">
        <f>SUM(P9:P95)</f>
        <v>1800</v>
      </c>
      <c r="Q96" s="71">
        <f>SUM(Q9:Q95)</f>
        <v>11464.2</v>
      </c>
      <c r="R96" s="69">
        <f>SUM(R9:$R$95)</f>
        <v>21601.919999999995</v>
      </c>
      <c r="S96" s="69">
        <f>SUM(S9:$S$95)</f>
        <v>807798.8534399999</v>
      </c>
      <c r="T96" s="69">
        <f>SUM(T9:$T$95)</f>
        <v>217706.20897300006</v>
      </c>
      <c r="U96" s="69">
        <f>SUM(U9:U95)</f>
        <v>555226.5244669999</v>
      </c>
      <c r="V96" s="69">
        <f>SUM(V9:$V$95)</f>
        <v>3205622.061026999</v>
      </c>
      <c r="W96" s="68">
        <v>111</v>
      </c>
      <c r="X96" s="72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</row>
    <row r="97" spans="1:53" s="26" customFormat="1" ht="32.25" customHeight="1">
      <c r="A97" s="114"/>
      <c r="B97" s="114"/>
      <c r="C97" s="24"/>
      <c r="D97" s="24"/>
      <c r="E97" s="24"/>
      <c r="F97" s="24"/>
      <c r="G97" s="16"/>
      <c r="H97" s="16"/>
      <c r="I97" s="16"/>
      <c r="J97" s="58"/>
      <c r="K97" s="16"/>
      <c r="L97" s="16"/>
      <c r="M97" s="16"/>
      <c r="N97" s="16"/>
      <c r="O97" s="16"/>
      <c r="P97" s="16"/>
      <c r="Q97" s="16"/>
      <c r="R97" s="16"/>
      <c r="S97" s="46"/>
      <c r="T97" s="46"/>
      <c r="U97" s="46"/>
      <c r="V97" s="46"/>
      <c r="W97" s="16"/>
      <c r="X97" s="24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1:53" s="106" customFormat="1" ht="15">
      <c r="A98" s="102"/>
      <c r="B98" s="152" t="s">
        <v>190</v>
      </c>
      <c r="C98" s="153"/>
      <c r="D98" s="153" t="s">
        <v>200</v>
      </c>
      <c r="E98" s="153"/>
      <c r="F98" s="103" t="s">
        <v>205</v>
      </c>
      <c r="G98" s="104"/>
      <c r="H98" s="104"/>
      <c r="I98" s="104"/>
      <c r="J98" s="105"/>
      <c r="K98" s="104"/>
      <c r="L98" s="104"/>
      <c r="M98" s="104"/>
      <c r="N98" s="104"/>
      <c r="O98" s="104"/>
      <c r="P98" s="104"/>
      <c r="Q98" s="104"/>
      <c r="R98" s="104"/>
      <c r="S98" s="46"/>
      <c r="T98" s="46"/>
      <c r="U98" s="46"/>
      <c r="V98" s="46"/>
      <c r="W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</row>
    <row r="99" spans="1:53" s="106" customFormat="1" ht="15">
      <c r="A99" s="102"/>
      <c r="B99" s="126" t="s">
        <v>191</v>
      </c>
      <c r="C99" s="126"/>
      <c r="D99" s="126" t="s">
        <v>202</v>
      </c>
      <c r="E99" s="126"/>
      <c r="F99" s="107">
        <f>K96</f>
        <v>106786.73126099996</v>
      </c>
      <c r="G99" s="104"/>
      <c r="H99" s="104"/>
      <c r="I99" s="104"/>
      <c r="J99" s="105"/>
      <c r="K99" s="104"/>
      <c r="L99" s="104"/>
      <c r="M99" s="104"/>
      <c r="N99" s="104"/>
      <c r="O99" s="104"/>
      <c r="P99" s="104"/>
      <c r="Q99" s="104"/>
      <c r="R99" s="104"/>
      <c r="S99" s="46"/>
      <c r="T99" s="46"/>
      <c r="U99" s="46"/>
      <c r="V99" s="46"/>
      <c r="W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</row>
    <row r="100" spans="1:53" s="106" customFormat="1" ht="15">
      <c r="A100" s="102"/>
      <c r="B100" s="126" t="s">
        <v>192</v>
      </c>
      <c r="C100" s="126"/>
      <c r="D100" s="126" t="s">
        <v>201</v>
      </c>
      <c r="E100" s="126"/>
      <c r="F100" s="107">
        <f>H96</f>
        <v>252822.63999999998</v>
      </c>
      <c r="G100" s="104"/>
      <c r="H100" s="104"/>
      <c r="I100" s="104"/>
      <c r="J100" s="105"/>
      <c r="K100" s="104"/>
      <c r="L100" s="104"/>
      <c r="M100" s="104"/>
      <c r="N100" s="104"/>
      <c r="O100" s="104"/>
      <c r="P100" s="104"/>
      <c r="Q100" s="104"/>
      <c r="R100" s="104"/>
      <c r="S100" s="46"/>
      <c r="T100" s="46"/>
      <c r="U100" s="46"/>
      <c r="V100" s="46"/>
      <c r="W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</row>
    <row r="101" spans="1:53" s="106" customFormat="1" ht="15">
      <c r="A101" s="102"/>
      <c r="B101" s="126" t="s">
        <v>193</v>
      </c>
      <c r="C101" s="126"/>
      <c r="D101" s="126" t="s">
        <v>203</v>
      </c>
      <c r="E101" s="126"/>
      <c r="F101" s="107">
        <f>I96</f>
        <v>2175</v>
      </c>
      <c r="G101" s="104"/>
      <c r="H101" s="104"/>
      <c r="I101" s="104"/>
      <c r="J101" s="105"/>
      <c r="K101" s="104"/>
      <c r="L101" s="104"/>
      <c r="M101" s="104"/>
      <c r="N101" s="104"/>
      <c r="O101" s="104"/>
      <c r="P101" s="104"/>
      <c r="Q101" s="104"/>
      <c r="R101" s="104"/>
      <c r="S101" s="46"/>
      <c r="T101" s="46"/>
      <c r="U101" s="46"/>
      <c r="V101" s="46"/>
      <c r="W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</row>
    <row r="102" spans="1:53" s="106" customFormat="1" ht="15">
      <c r="A102" s="102"/>
      <c r="B102" s="162" t="s">
        <v>235</v>
      </c>
      <c r="C102" s="163"/>
      <c r="D102" s="162" t="s">
        <v>234</v>
      </c>
      <c r="E102" s="163"/>
      <c r="F102" s="107">
        <f>Q96</f>
        <v>11464.2</v>
      </c>
      <c r="G102" s="104"/>
      <c r="H102" s="104"/>
      <c r="I102" s="104"/>
      <c r="J102" s="105"/>
      <c r="K102" s="104"/>
      <c r="L102" s="104"/>
      <c r="M102" s="104"/>
      <c r="N102" s="104"/>
      <c r="O102" s="104"/>
      <c r="P102" s="104"/>
      <c r="Q102" s="104"/>
      <c r="R102" s="104"/>
      <c r="S102" s="46"/>
      <c r="T102" s="46"/>
      <c r="U102" s="46"/>
      <c r="V102" s="46"/>
      <c r="W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</row>
    <row r="103" spans="1:53" s="106" customFormat="1" ht="15">
      <c r="A103" s="102"/>
      <c r="B103" s="151" t="s">
        <v>206</v>
      </c>
      <c r="C103" s="151"/>
      <c r="D103" s="151" t="s">
        <v>207</v>
      </c>
      <c r="E103" s="151"/>
      <c r="F103" s="107">
        <f>P96</f>
        <v>1800</v>
      </c>
      <c r="G103" s="104"/>
      <c r="H103" s="104"/>
      <c r="I103" s="104"/>
      <c r="J103" s="105"/>
      <c r="K103" s="104"/>
      <c r="L103" s="104"/>
      <c r="M103" s="104"/>
      <c r="N103" s="104"/>
      <c r="O103" s="104"/>
      <c r="P103" s="104"/>
      <c r="Q103" s="104"/>
      <c r="R103" s="104"/>
      <c r="S103" s="46"/>
      <c r="T103" s="46"/>
      <c r="U103" s="46"/>
      <c r="V103" s="46"/>
      <c r="W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</row>
    <row r="104" spans="1:53" s="106" customFormat="1" ht="15">
      <c r="A104" s="102"/>
      <c r="B104" s="126" t="s">
        <v>194</v>
      </c>
      <c r="C104" s="126"/>
      <c r="D104" s="126" t="s">
        <v>202</v>
      </c>
      <c r="E104" s="126"/>
      <c r="F104" s="107">
        <f>N96</f>
        <v>110919.47771200007</v>
      </c>
      <c r="G104" s="104"/>
      <c r="H104" s="104"/>
      <c r="I104" s="104"/>
      <c r="J104" s="105"/>
      <c r="K104" s="104"/>
      <c r="L104" s="104"/>
      <c r="M104" s="104"/>
      <c r="N104" s="104"/>
      <c r="O104" s="104"/>
      <c r="P104" s="104"/>
      <c r="Q104" s="104"/>
      <c r="R104" s="104"/>
      <c r="S104" s="46"/>
      <c r="T104" s="46"/>
      <c r="U104" s="46"/>
      <c r="V104" s="46"/>
      <c r="W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</row>
    <row r="105" spans="1:53" s="106" customFormat="1" ht="15">
      <c r="A105" s="102"/>
      <c r="B105" s="126" t="s">
        <v>195</v>
      </c>
      <c r="C105" s="126"/>
      <c r="D105" s="126" t="s">
        <v>202</v>
      </c>
      <c r="E105" s="126"/>
      <c r="F105" s="107">
        <f>R96</f>
        <v>21601.919999999995</v>
      </c>
      <c r="G105" s="104"/>
      <c r="H105" s="104"/>
      <c r="I105" s="104"/>
      <c r="J105" s="105"/>
      <c r="K105" s="104"/>
      <c r="L105" s="104"/>
      <c r="M105" s="104"/>
      <c r="N105" s="104"/>
      <c r="O105" s="104"/>
      <c r="P105" s="104"/>
      <c r="Q105" s="104"/>
      <c r="R105" s="104"/>
      <c r="S105" s="46"/>
      <c r="T105" s="46"/>
      <c r="U105" s="46"/>
      <c r="V105" s="46"/>
      <c r="W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</row>
    <row r="106" spans="1:53" s="106" customFormat="1" ht="15">
      <c r="A106" s="102"/>
      <c r="B106" s="126" t="s">
        <v>196</v>
      </c>
      <c r="C106" s="126"/>
      <c r="D106" s="126" t="s">
        <v>204</v>
      </c>
      <c r="E106" s="126"/>
      <c r="F106" s="107">
        <f>J96</f>
        <v>7600</v>
      </c>
      <c r="G106" s="104"/>
      <c r="H106" s="104"/>
      <c r="I106" s="104"/>
      <c r="J106" s="105"/>
      <c r="K106" s="104"/>
      <c r="L106" s="104"/>
      <c r="M106" s="104"/>
      <c r="N106" s="104"/>
      <c r="O106" s="104"/>
      <c r="P106" s="104"/>
      <c r="Q106" s="104"/>
      <c r="R106" s="104"/>
      <c r="S106" s="46"/>
      <c r="T106" s="46"/>
      <c r="U106" s="46"/>
      <c r="V106" s="46"/>
      <c r="W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</row>
    <row r="107" spans="1:53" s="106" customFormat="1" ht="15">
      <c r="A107" s="102"/>
      <c r="B107" s="151" t="s">
        <v>197</v>
      </c>
      <c r="C107" s="151"/>
      <c r="D107" s="126"/>
      <c r="E107" s="126"/>
      <c r="F107" s="107">
        <f>L96</f>
        <v>264176.23413</v>
      </c>
      <c r="G107" s="104"/>
      <c r="H107" s="104"/>
      <c r="I107" s="104"/>
      <c r="J107" s="105"/>
      <c r="K107" s="104"/>
      <c r="L107" s="104"/>
      <c r="M107" s="104"/>
      <c r="N107" s="104"/>
      <c r="O107" s="104"/>
      <c r="P107" s="104"/>
      <c r="Q107" s="104"/>
      <c r="R107" s="104"/>
      <c r="S107" s="46"/>
      <c r="T107" s="46"/>
      <c r="U107" s="46"/>
      <c r="V107" s="46"/>
      <c r="W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</row>
    <row r="108" spans="1:53" s="106" customFormat="1" ht="15">
      <c r="A108" s="102"/>
      <c r="B108" s="151" t="s">
        <v>198</v>
      </c>
      <c r="C108" s="151"/>
      <c r="D108" s="126"/>
      <c r="E108" s="126"/>
      <c r="F108" s="107">
        <f>M96</f>
        <v>32359.79791</v>
      </c>
      <c r="G108" s="104"/>
      <c r="H108" s="104"/>
      <c r="I108" s="104"/>
      <c r="J108" s="105"/>
      <c r="K108" s="104"/>
      <c r="L108" s="104"/>
      <c r="M108" s="104"/>
      <c r="N108" s="104"/>
      <c r="O108" s="104"/>
      <c r="P108" s="104"/>
      <c r="Q108" s="104"/>
      <c r="R108" s="104"/>
      <c r="S108" s="46"/>
      <c r="T108" s="46"/>
      <c r="U108" s="46"/>
      <c r="V108" s="46"/>
      <c r="W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</row>
    <row r="109" spans="1:53" s="106" customFormat="1" ht="15">
      <c r="A109" s="102"/>
      <c r="B109" s="151" t="s">
        <v>199</v>
      </c>
      <c r="C109" s="151"/>
      <c r="D109" s="126"/>
      <c r="E109" s="126"/>
      <c r="F109" s="108">
        <f>O96</f>
        <v>258690.492427</v>
      </c>
      <c r="G109" s="104"/>
      <c r="H109" s="104"/>
      <c r="I109" s="104"/>
      <c r="J109" s="105"/>
      <c r="K109" s="104"/>
      <c r="L109" s="104"/>
      <c r="M109" s="104"/>
      <c r="N109" s="104"/>
      <c r="O109" s="104"/>
      <c r="P109" s="104"/>
      <c r="Q109" s="104"/>
      <c r="R109" s="104"/>
      <c r="S109" s="46"/>
      <c r="T109" s="46"/>
      <c r="U109" s="46"/>
      <c r="V109" s="46"/>
      <c r="W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</row>
    <row r="110" spans="1:53" s="106" customFormat="1" ht="15">
      <c r="A110" s="102"/>
      <c r="B110" s="150" t="s">
        <v>213</v>
      </c>
      <c r="C110" s="150"/>
      <c r="D110" s="150"/>
      <c r="E110" s="150"/>
      <c r="F110" s="101">
        <f>G96-F99-F100-F101-F102-F103-F104-F105-F106</f>
        <v>3205622.0610269997</v>
      </c>
      <c r="G110" s="104"/>
      <c r="H110" s="104"/>
      <c r="I110" s="104"/>
      <c r="J110" s="105"/>
      <c r="K110" s="104"/>
      <c r="L110" s="104"/>
      <c r="M110" s="104"/>
      <c r="N110" s="104"/>
      <c r="O110" s="104"/>
      <c r="P110" s="104"/>
      <c r="Q110" s="104"/>
      <c r="R110" s="104"/>
      <c r="S110" s="46"/>
      <c r="T110" s="46"/>
      <c r="U110" s="46"/>
      <c r="V110" s="46"/>
      <c r="W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</row>
    <row r="111" spans="1:53" s="26" customFormat="1" ht="32.25" customHeight="1">
      <c r="A111" s="23"/>
      <c r="B111" s="24"/>
      <c r="C111" s="24"/>
      <c r="D111" s="24"/>
      <c r="E111" s="24"/>
      <c r="F111" s="24"/>
      <c r="G111" s="16"/>
      <c r="H111" s="16"/>
      <c r="I111" s="16"/>
      <c r="J111" s="58"/>
      <c r="K111" s="16"/>
      <c r="L111" s="16"/>
      <c r="M111" s="16"/>
      <c r="N111" s="16"/>
      <c r="O111" s="16"/>
      <c r="P111" s="16"/>
      <c r="Q111" s="16"/>
      <c r="R111" s="16"/>
      <c r="S111" s="46"/>
      <c r="T111" s="46"/>
      <c r="U111" s="46"/>
      <c r="V111" s="46"/>
      <c r="W111" s="16"/>
      <c r="X111" s="24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1:53" s="26" customFormat="1" ht="32.25" customHeight="1">
      <c r="A112" s="23"/>
      <c r="B112" s="24"/>
      <c r="C112" s="24"/>
      <c r="D112" s="24"/>
      <c r="E112" s="24"/>
      <c r="F112" s="24"/>
      <c r="G112" s="16"/>
      <c r="H112" s="16"/>
      <c r="I112" s="16"/>
      <c r="J112" s="58"/>
      <c r="K112" s="16"/>
      <c r="L112" s="16"/>
      <c r="M112" s="16"/>
      <c r="N112" s="16"/>
      <c r="O112" s="16"/>
      <c r="P112" s="16"/>
      <c r="Q112" s="16"/>
      <c r="R112" s="16"/>
      <c r="S112" s="46"/>
      <c r="T112" s="46"/>
      <c r="U112" s="46"/>
      <c r="V112" s="46"/>
      <c r="W112" s="16"/>
      <c r="X112" s="24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</row>
    <row r="113" spans="1:53" s="26" customFormat="1" ht="32.25" customHeight="1">
      <c r="A113" s="23"/>
      <c r="B113" s="24"/>
      <c r="C113" s="24"/>
      <c r="D113" s="24"/>
      <c r="E113" s="24"/>
      <c r="F113" s="24"/>
      <c r="G113" s="16"/>
      <c r="H113" s="16"/>
      <c r="I113" s="16"/>
      <c r="J113" s="58"/>
      <c r="K113" s="16"/>
      <c r="L113" s="16"/>
      <c r="M113" s="16"/>
      <c r="N113" s="16"/>
      <c r="O113" s="16"/>
      <c r="P113" s="16"/>
      <c r="Q113" s="16"/>
      <c r="R113" s="16"/>
      <c r="S113" s="46"/>
      <c r="T113" s="46"/>
      <c r="U113" s="46"/>
      <c r="V113" s="46"/>
      <c r="W113" s="16"/>
      <c r="X113" s="24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</row>
    <row r="114" spans="1:53" s="26" customFormat="1" ht="32.25" customHeight="1">
      <c r="A114" s="23"/>
      <c r="B114" s="24"/>
      <c r="C114" s="24"/>
      <c r="D114" s="24"/>
      <c r="E114" s="24"/>
      <c r="F114" s="24"/>
      <c r="G114" s="16"/>
      <c r="H114" s="16"/>
      <c r="I114" s="16"/>
      <c r="J114" s="58"/>
      <c r="K114" s="16"/>
      <c r="L114" s="16"/>
      <c r="M114" s="16"/>
      <c r="N114" s="16"/>
      <c r="O114" s="16"/>
      <c r="P114" s="16"/>
      <c r="Q114" s="16"/>
      <c r="R114" s="16"/>
      <c r="S114" s="46"/>
      <c r="T114" s="46"/>
      <c r="U114" s="46"/>
      <c r="V114" s="46"/>
      <c r="W114" s="16"/>
      <c r="X114" s="24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</row>
    <row r="115" spans="1:53" s="26" customFormat="1" ht="32.25" customHeight="1">
      <c r="A115" s="23"/>
      <c r="B115" s="24"/>
      <c r="C115" s="24"/>
      <c r="D115" s="24"/>
      <c r="E115" s="24"/>
      <c r="F115" s="24"/>
      <c r="G115" s="16"/>
      <c r="H115" s="16"/>
      <c r="I115" s="16"/>
      <c r="J115" s="58"/>
      <c r="K115" s="16"/>
      <c r="L115" s="16"/>
      <c r="M115" s="16"/>
      <c r="N115" s="16"/>
      <c r="O115" s="16"/>
      <c r="P115" s="16"/>
      <c r="Q115" s="16"/>
      <c r="R115" s="16"/>
      <c r="S115" s="46"/>
      <c r="T115" s="46"/>
      <c r="U115" s="46"/>
      <c r="V115" s="46"/>
      <c r="W115" s="16"/>
      <c r="X115" s="24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</row>
    <row r="116" spans="1:53" s="26" customFormat="1" ht="32.25" customHeight="1">
      <c r="A116" s="23"/>
      <c r="B116" s="24"/>
      <c r="C116" s="24"/>
      <c r="D116" s="24"/>
      <c r="E116" s="24"/>
      <c r="F116" s="24"/>
      <c r="G116" s="16"/>
      <c r="H116" s="16"/>
      <c r="I116" s="16"/>
      <c r="J116" s="58"/>
      <c r="K116" s="16"/>
      <c r="L116" s="16"/>
      <c r="M116" s="16"/>
      <c r="N116" s="16"/>
      <c r="O116" s="16"/>
      <c r="P116" s="16"/>
      <c r="Q116" s="16"/>
      <c r="R116" s="16"/>
      <c r="S116" s="46"/>
      <c r="T116" s="46"/>
      <c r="U116" s="46"/>
      <c r="V116" s="46"/>
      <c r="W116" s="16"/>
      <c r="X116" s="24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</row>
    <row r="117" spans="1:53" s="26" customFormat="1" ht="32.25" customHeight="1">
      <c r="A117" s="23"/>
      <c r="B117" s="24"/>
      <c r="C117" s="24"/>
      <c r="D117" s="24"/>
      <c r="E117" s="24"/>
      <c r="F117" s="24"/>
      <c r="G117" s="16"/>
      <c r="H117" s="16"/>
      <c r="I117" s="16"/>
      <c r="J117" s="58"/>
      <c r="K117" s="16"/>
      <c r="L117" s="16"/>
      <c r="M117" s="16"/>
      <c r="N117" s="16"/>
      <c r="O117" s="16"/>
      <c r="P117" s="16"/>
      <c r="Q117" s="16"/>
      <c r="R117" s="16"/>
      <c r="S117" s="46"/>
      <c r="T117" s="46"/>
      <c r="U117" s="46"/>
      <c r="V117" s="46"/>
      <c r="W117" s="16"/>
      <c r="X117" s="24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</row>
    <row r="118" spans="1:53" s="26" customFormat="1" ht="32.25" customHeight="1">
      <c r="A118" s="23"/>
      <c r="B118" s="24"/>
      <c r="C118" s="24"/>
      <c r="D118" s="24"/>
      <c r="E118" s="24"/>
      <c r="F118" s="24"/>
      <c r="G118" s="16"/>
      <c r="H118" s="16"/>
      <c r="I118" s="16"/>
      <c r="J118" s="58"/>
      <c r="K118" s="16"/>
      <c r="L118" s="16"/>
      <c r="M118" s="16"/>
      <c r="N118" s="16"/>
      <c r="O118" s="16"/>
      <c r="P118" s="16"/>
      <c r="Q118" s="16"/>
      <c r="R118" s="16"/>
      <c r="S118" s="46"/>
      <c r="T118" s="46"/>
      <c r="U118" s="46"/>
      <c r="V118" s="46"/>
      <c r="W118" s="16"/>
      <c r="X118" s="24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</row>
    <row r="119" spans="1:53" s="26" customFormat="1" ht="32.25" customHeight="1">
      <c r="A119" s="23"/>
      <c r="B119" s="24"/>
      <c r="C119" s="24"/>
      <c r="D119" s="24"/>
      <c r="E119" s="24"/>
      <c r="F119" s="24"/>
      <c r="G119" s="16"/>
      <c r="H119" s="16"/>
      <c r="I119" s="16"/>
      <c r="J119" s="58"/>
      <c r="K119" s="16"/>
      <c r="L119" s="16"/>
      <c r="M119" s="16"/>
      <c r="N119" s="16"/>
      <c r="O119" s="16"/>
      <c r="P119" s="16"/>
      <c r="Q119" s="16"/>
      <c r="R119" s="16"/>
      <c r="S119" s="46"/>
      <c r="T119" s="46"/>
      <c r="U119" s="46"/>
      <c r="V119" s="46"/>
      <c r="W119" s="16"/>
      <c r="X119" s="24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</row>
    <row r="122" ht="12.75" hidden="1"/>
    <row r="123" ht="12.75" hidden="1"/>
    <row r="124" ht="12.75" hidden="1"/>
    <row r="125" ht="12.75" hidden="1"/>
    <row r="126" ht="12.75" hidden="1"/>
    <row r="127" ht="12.75" hidden="1"/>
    <row r="128" spans="1:53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T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="2" customFormat="1" ht="12.75" hidden="1"/>
    <row r="130" s="2" customFormat="1" ht="12.75" hidden="1"/>
    <row r="131" s="2" customFormat="1" ht="12.75" hidden="1"/>
    <row r="132" s="2" customFormat="1" ht="12.75" hidden="1"/>
    <row r="133" s="2" customFormat="1" ht="12.75" hidden="1"/>
    <row r="134" s="2" customFormat="1" ht="12.75" hidden="1"/>
    <row r="135" s="2" customFormat="1" ht="12.75" hidden="1"/>
    <row r="136" s="2" customFormat="1" ht="12.75" hidden="1"/>
    <row r="137" s="2" customFormat="1" ht="12.75" hidden="1"/>
    <row r="138" s="2" customFormat="1" ht="12.75" hidden="1"/>
    <row r="139" s="2" customFormat="1" ht="12.75" hidden="1"/>
    <row r="140" s="2" customFormat="1" ht="12.75" hidden="1"/>
    <row r="141" s="2" customFormat="1" ht="12.75" hidden="1"/>
  </sheetData>
  <sheetProtection/>
  <mergeCells count="53">
    <mergeCell ref="D109:E109"/>
    <mergeCell ref="B107:C107"/>
    <mergeCell ref="B109:C109"/>
    <mergeCell ref="B99:C99"/>
    <mergeCell ref="B100:C100"/>
    <mergeCell ref="B101:C101"/>
    <mergeCell ref="D105:E105"/>
    <mergeCell ref="D106:E106"/>
    <mergeCell ref="B108:C108"/>
    <mergeCell ref="D99:E99"/>
    <mergeCell ref="D107:E107"/>
    <mergeCell ref="D108:E108"/>
    <mergeCell ref="Q7:Q8"/>
    <mergeCell ref="P7:P8"/>
    <mergeCell ref="B96:F96"/>
    <mergeCell ref="J6:J8"/>
    <mergeCell ref="G6:G8"/>
    <mergeCell ref="D6:D8"/>
    <mergeCell ref="B102:C102"/>
    <mergeCell ref="D102:E102"/>
    <mergeCell ref="B110:E110"/>
    <mergeCell ref="B103:C103"/>
    <mergeCell ref="D103:E103"/>
    <mergeCell ref="F6:F8"/>
    <mergeCell ref="B98:C98"/>
    <mergeCell ref="D98:E98"/>
    <mergeCell ref="B104:C104"/>
    <mergeCell ref="B105:C105"/>
    <mergeCell ref="B106:C106"/>
    <mergeCell ref="E6:E8"/>
    <mergeCell ref="A2:W2"/>
    <mergeCell ref="H6:H8"/>
    <mergeCell ref="I6:I8"/>
    <mergeCell ref="K6:S6"/>
    <mergeCell ref="A6:A8"/>
    <mergeCell ref="B6:B8"/>
    <mergeCell ref="C6:C8"/>
    <mergeCell ref="T7:T8"/>
    <mergeCell ref="U7:U8"/>
    <mergeCell ref="T6:U6"/>
    <mergeCell ref="D104:E104"/>
    <mergeCell ref="D100:E100"/>
    <mergeCell ref="D101:E101"/>
    <mergeCell ref="V6:V8"/>
    <mergeCell ref="W6:W8"/>
    <mergeCell ref="K7:L7"/>
    <mergeCell ref="A3:W3"/>
    <mergeCell ref="A4:W4"/>
    <mergeCell ref="A5:W5"/>
    <mergeCell ref="M7:M8"/>
    <mergeCell ref="N7:O7"/>
    <mergeCell ref="R7:R8"/>
    <mergeCell ref="S7:S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2" manualBreakCount="2">
    <brk id="42" max="21" man="1"/>
    <brk id="74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tabSelected="1" zoomScale="85" zoomScaleNormal="85" zoomScaleSheetLayoutView="85" zoomScalePageLayoutView="14" workbookViewId="0" topLeftCell="G12">
      <selection activeCell="N16" sqref="N16"/>
    </sheetView>
  </sheetViews>
  <sheetFormatPr defaultColWidth="9.140625" defaultRowHeight="12.75"/>
  <cols>
    <col min="1" max="1" width="5.57421875" style="11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8.421875" style="2" customWidth="1"/>
    <col min="8" max="8" width="16.00390625" style="37" customWidth="1"/>
    <col min="9" max="9" width="16.00390625" style="33" customWidth="1"/>
    <col min="10" max="10" width="16.00390625" style="59" customWidth="1"/>
    <col min="11" max="17" width="16.00390625" style="6" customWidth="1"/>
    <col min="18" max="18" width="16.00390625" style="29" customWidth="1"/>
    <col min="19" max="19" width="16.00390625" style="2" customWidth="1"/>
    <col min="20" max="20" width="16.421875" style="29" customWidth="1"/>
    <col min="21" max="21" width="17.57421875" style="2" customWidth="1"/>
    <col min="22" max="22" width="18.421875" style="2" customWidth="1"/>
    <col min="23" max="23" width="10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9" customFormat="1" ht="117" customHeight="1">
      <c r="A1" s="20"/>
      <c r="B1" s="34"/>
      <c r="C1" s="20"/>
      <c r="D1" s="20"/>
      <c r="E1" s="20"/>
      <c r="F1" s="20"/>
      <c r="G1" s="21"/>
      <c r="H1" s="36"/>
      <c r="I1" s="32"/>
      <c r="J1" s="57"/>
      <c r="K1" s="22"/>
      <c r="L1" s="22"/>
      <c r="M1" s="22"/>
      <c r="N1" s="31"/>
      <c r="R1" s="28"/>
      <c r="S1" s="22"/>
      <c r="T1" s="28"/>
      <c r="U1" s="22"/>
      <c r="V1" s="22"/>
      <c r="W1" s="22"/>
      <c r="X1" s="19"/>
      <c r="Y1" s="19"/>
      <c r="Z1" s="19"/>
      <c r="AA1" s="19"/>
      <c r="AB1" s="19"/>
      <c r="AC1" s="19"/>
      <c r="AD1" s="19"/>
      <c r="AE1" s="1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9" customFormat="1" ht="27.75" customHeight="1">
      <c r="A2" s="130" t="s">
        <v>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0"/>
      <c r="AK2" s="30"/>
      <c r="AL2" s="30"/>
      <c r="AM2" s="30"/>
      <c r="AN2" s="30"/>
      <c r="AO2" s="30"/>
      <c r="AP2" s="30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8" ht="21" customHeight="1">
      <c r="A3" s="116" t="s">
        <v>132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64"/>
      <c r="Y3" s="64"/>
      <c r="Z3" s="64"/>
      <c r="AA3" s="62"/>
      <c r="AB3" s="62"/>
    </row>
    <row r="4" spans="1:53" s="111" customFormat="1" ht="21">
      <c r="A4" s="116" t="s">
        <v>257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s="109" customFormat="1" ht="15" thickBot="1">
      <c r="A5" s="117" t="s">
        <v>218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</row>
    <row r="6" spans="1:53" s="26" customFormat="1" ht="43.5" customHeight="1" thickBot="1">
      <c r="A6" s="140" t="s">
        <v>150</v>
      </c>
      <c r="B6" s="143" t="s">
        <v>151</v>
      </c>
      <c r="C6" s="143" t="s">
        <v>152</v>
      </c>
      <c r="D6" s="143" t="s">
        <v>165</v>
      </c>
      <c r="E6" s="143" t="s">
        <v>169</v>
      </c>
      <c r="F6" s="143" t="s">
        <v>170</v>
      </c>
      <c r="G6" s="127" t="s">
        <v>173</v>
      </c>
      <c r="H6" s="131" t="s">
        <v>174</v>
      </c>
      <c r="I6" s="134" t="s">
        <v>175</v>
      </c>
      <c r="J6" s="159" t="s">
        <v>87</v>
      </c>
      <c r="K6" s="137" t="s">
        <v>178</v>
      </c>
      <c r="L6" s="138"/>
      <c r="M6" s="138"/>
      <c r="N6" s="138"/>
      <c r="O6" s="138"/>
      <c r="P6" s="138"/>
      <c r="Q6" s="138"/>
      <c r="R6" s="138"/>
      <c r="S6" s="139"/>
      <c r="T6" s="148" t="s">
        <v>186</v>
      </c>
      <c r="U6" s="149"/>
      <c r="V6" s="127" t="s">
        <v>188</v>
      </c>
      <c r="W6" s="127" t="s">
        <v>189</v>
      </c>
      <c r="X6" s="24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6" customFormat="1" ht="62.25" customHeight="1">
      <c r="A7" s="141"/>
      <c r="B7" s="144"/>
      <c r="C7" s="144"/>
      <c r="D7" s="144"/>
      <c r="E7" s="144"/>
      <c r="F7" s="144"/>
      <c r="G7" s="124"/>
      <c r="H7" s="132"/>
      <c r="I7" s="135"/>
      <c r="J7" s="160"/>
      <c r="K7" s="128" t="s">
        <v>180</v>
      </c>
      <c r="L7" s="129"/>
      <c r="M7" s="118" t="s">
        <v>179</v>
      </c>
      <c r="N7" s="120" t="s">
        <v>181</v>
      </c>
      <c r="O7" s="121"/>
      <c r="P7" s="154" t="s">
        <v>206</v>
      </c>
      <c r="Q7" s="154" t="s">
        <v>234</v>
      </c>
      <c r="R7" s="170" t="s">
        <v>208</v>
      </c>
      <c r="S7" s="124" t="s">
        <v>184</v>
      </c>
      <c r="T7" s="118" t="s">
        <v>185</v>
      </c>
      <c r="U7" s="146" t="s">
        <v>187</v>
      </c>
      <c r="V7" s="124"/>
      <c r="W7" s="124"/>
      <c r="X7" s="24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6" customFormat="1" ht="62.25" customHeight="1" thickBot="1">
      <c r="A8" s="142"/>
      <c r="B8" s="145"/>
      <c r="C8" s="145"/>
      <c r="D8" s="145"/>
      <c r="E8" s="145"/>
      <c r="F8" s="145"/>
      <c r="G8" s="125"/>
      <c r="H8" s="133"/>
      <c r="I8" s="136"/>
      <c r="J8" s="161"/>
      <c r="K8" s="60" t="s">
        <v>176</v>
      </c>
      <c r="L8" s="61" t="s">
        <v>177</v>
      </c>
      <c r="M8" s="119"/>
      <c r="N8" s="61" t="s">
        <v>182</v>
      </c>
      <c r="O8" s="61" t="s">
        <v>183</v>
      </c>
      <c r="P8" s="155"/>
      <c r="Q8" s="155"/>
      <c r="R8" s="147"/>
      <c r="S8" s="125"/>
      <c r="T8" s="119"/>
      <c r="U8" s="147"/>
      <c r="V8" s="125"/>
      <c r="W8" s="125"/>
      <c r="X8" s="24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6" customFormat="1" ht="32.25" customHeight="1">
      <c r="A9" s="76">
        <v>1</v>
      </c>
      <c r="B9" s="78" t="s">
        <v>41</v>
      </c>
      <c r="C9" s="77" t="s">
        <v>210</v>
      </c>
      <c r="D9" s="78" t="s">
        <v>56</v>
      </c>
      <c r="E9" s="77" t="s">
        <v>0</v>
      </c>
      <c r="F9" s="77" t="s">
        <v>172</v>
      </c>
      <c r="G9" s="79">
        <v>46800</v>
      </c>
      <c r="H9" s="79">
        <v>0</v>
      </c>
      <c r="I9" s="80">
        <v>25</v>
      </c>
      <c r="J9" s="80">
        <v>100</v>
      </c>
      <c r="K9" s="80">
        <f>+G9*2.87%</f>
        <v>1343.16</v>
      </c>
      <c r="L9" s="80">
        <f>+G9*7.1%</f>
        <v>3322.7999999999997</v>
      </c>
      <c r="M9" s="80">
        <f>+G9*1.1%</f>
        <v>514.8000000000001</v>
      </c>
      <c r="N9" s="80">
        <f>+G9*3.04%</f>
        <v>1422.72</v>
      </c>
      <c r="O9" s="80">
        <f>+G9*7.09%</f>
        <v>3318.1200000000003</v>
      </c>
      <c r="P9" s="80"/>
      <c r="Q9" s="80"/>
      <c r="R9" s="80">
        <v>0</v>
      </c>
      <c r="S9" s="80">
        <f aca="true" t="shared" si="0" ref="S9:S40">SUM(K9:R9)</f>
        <v>9921.6</v>
      </c>
      <c r="T9" s="80">
        <f aca="true" t="shared" si="1" ref="T9:T40">+K9+N9</f>
        <v>2765.88</v>
      </c>
      <c r="U9" s="80">
        <f aca="true" t="shared" si="2" ref="U9:U40">+L9+M9+O9</f>
        <v>7155.72</v>
      </c>
      <c r="V9" s="80">
        <f aca="true" t="shared" si="3" ref="V9:V40">+G9-T9-H9-I9-R9-J9</f>
        <v>43909.12</v>
      </c>
      <c r="W9" s="81">
        <v>111</v>
      </c>
      <c r="X9" s="24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6" customFormat="1" ht="32.25" customHeight="1">
      <c r="A10" s="50">
        <f>A9+1</f>
        <v>2</v>
      </c>
      <c r="B10" s="38" t="s">
        <v>124</v>
      </c>
      <c r="C10" s="40" t="s">
        <v>210</v>
      </c>
      <c r="D10" s="38" t="s">
        <v>108</v>
      </c>
      <c r="E10" s="40" t="s">
        <v>167</v>
      </c>
      <c r="F10" s="40" t="s">
        <v>172</v>
      </c>
      <c r="G10" s="45">
        <v>30000</v>
      </c>
      <c r="H10" s="45"/>
      <c r="I10" s="47">
        <v>25</v>
      </c>
      <c r="J10" s="47">
        <v>100</v>
      </c>
      <c r="K10" s="47">
        <f>+G10*2.87%</f>
        <v>861</v>
      </c>
      <c r="L10" s="47">
        <f>+G10*7.1%</f>
        <v>2130</v>
      </c>
      <c r="M10" s="47">
        <f>+G10*1.1%</f>
        <v>330.00000000000006</v>
      </c>
      <c r="N10" s="47">
        <f>+G10*3.04%</f>
        <v>912</v>
      </c>
      <c r="O10" s="47">
        <f>+G10*7.09%</f>
        <v>2127</v>
      </c>
      <c r="P10" s="47"/>
      <c r="Q10" s="47"/>
      <c r="R10" s="47">
        <v>0</v>
      </c>
      <c r="S10" s="47">
        <f t="shared" si="0"/>
        <v>6360</v>
      </c>
      <c r="T10" s="47">
        <f t="shared" si="1"/>
        <v>1773</v>
      </c>
      <c r="U10" s="47">
        <f t="shared" si="2"/>
        <v>4587</v>
      </c>
      <c r="V10" s="47">
        <f t="shared" si="3"/>
        <v>28102</v>
      </c>
      <c r="W10" s="51">
        <v>111</v>
      </c>
      <c r="X10" s="24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6" customFormat="1" ht="52.5" customHeight="1">
      <c r="A11" s="50">
        <f>A10+1</f>
        <v>3</v>
      </c>
      <c r="B11" s="38" t="s">
        <v>83</v>
      </c>
      <c r="C11" s="40" t="s">
        <v>224</v>
      </c>
      <c r="D11" s="38" t="s">
        <v>84</v>
      </c>
      <c r="E11" s="40" t="s">
        <v>0</v>
      </c>
      <c r="F11" s="40" t="s">
        <v>171</v>
      </c>
      <c r="G11" s="45">
        <v>78000</v>
      </c>
      <c r="H11" s="45">
        <v>6603.89</v>
      </c>
      <c r="I11" s="47">
        <v>25</v>
      </c>
      <c r="J11" s="47">
        <v>100</v>
      </c>
      <c r="K11" s="47">
        <f aca="true" t="shared" si="4" ref="K11:K18">+G11*2.87%</f>
        <v>2238.6</v>
      </c>
      <c r="L11" s="47">
        <f aca="true" t="shared" si="5" ref="L11:L18">+G11*7.1%</f>
        <v>5537.999999999999</v>
      </c>
      <c r="M11" s="47">
        <f>65050*1.1%</f>
        <v>715.5500000000001</v>
      </c>
      <c r="N11" s="47">
        <f aca="true" t="shared" si="6" ref="N11:N18">+G11*3.04%</f>
        <v>2371.2</v>
      </c>
      <c r="O11" s="47">
        <f aca="true" t="shared" si="7" ref="O11:O18">+G11*7.09%</f>
        <v>5530.200000000001</v>
      </c>
      <c r="P11" s="47"/>
      <c r="Q11" s="47"/>
      <c r="R11" s="47">
        <v>1350.12</v>
      </c>
      <c r="S11" s="47">
        <f t="shared" si="0"/>
        <v>17743.67</v>
      </c>
      <c r="T11" s="47">
        <f t="shared" si="1"/>
        <v>4609.799999999999</v>
      </c>
      <c r="U11" s="47">
        <f t="shared" si="2"/>
        <v>11783.75</v>
      </c>
      <c r="V11" s="47">
        <f t="shared" si="3"/>
        <v>65311.189999999995</v>
      </c>
      <c r="W11" s="51">
        <v>111</v>
      </c>
      <c r="X11" s="24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6" customFormat="1" ht="52.5" customHeight="1">
      <c r="A12" s="50">
        <f aca="true" t="shared" si="8" ref="A12:A38">A11+1</f>
        <v>4</v>
      </c>
      <c r="B12" s="38" t="s">
        <v>24</v>
      </c>
      <c r="C12" s="40" t="s">
        <v>224</v>
      </c>
      <c r="D12" s="38" t="s">
        <v>63</v>
      </c>
      <c r="E12" s="40" t="s">
        <v>0</v>
      </c>
      <c r="F12" s="40" t="s">
        <v>171</v>
      </c>
      <c r="G12" s="45">
        <v>39825.44</v>
      </c>
      <c r="H12" s="45">
        <v>418.01</v>
      </c>
      <c r="I12" s="47">
        <v>25</v>
      </c>
      <c r="J12" s="47">
        <v>100</v>
      </c>
      <c r="K12" s="47">
        <f t="shared" si="4"/>
        <v>1142.9901280000001</v>
      </c>
      <c r="L12" s="47">
        <f t="shared" si="5"/>
        <v>2827.60624</v>
      </c>
      <c r="M12" s="47">
        <f>+G12*1.1%</f>
        <v>438.07984000000005</v>
      </c>
      <c r="N12" s="47">
        <f t="shared" si="6"/>
        <v>1210.6933760000002</v>
      </c>
      <c r="O12" s="47">
        <f t="shared" si="7"/>
        <v>2823.6236960000006</v>
      </c>
      <c r="P12" s="47"/>
      <c r="Q12" s="47"/>
      <c r="R12" s="47">
        <v>0</v>
      </c>
      <c r="S12" s="47">
        <f t="shared" si="0"/>
        <v>8442.993280000002</v>
      </c>
      <c r="T12" s="47">
        <f t="shared" si="1"/>
        <v>2353.6835040000005</v>
      </c>
      <c r="U12" s="47">
        <f t="shared" si="2"/>
        <v>6089.309776</v>
      </c>
      <c r="V12" s="47">
        <f t="shared" si="3"/>
        <v>36928.746496</v>
      </c>
      <c r="W12" s="51">
        <v>111</v>
      </c>
      <c r="X12" s="24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6" customFormat="1" ht="52.5" customHeight="1">
      <c r="A13" s="50">
        <f t="shared" si="8"/>
        <v>5</v>
      </c>
      <c r="B13" s="38" t="s">
        <v>3</v>
      </c>
      <c r="C13" s="40" t="s">
        <v>224</v>
      </c>
      <c r="D13" s="38" t="s">
        <v>44</v>
      </c>
      <c r="E13" s="40" t="s">
        <v>0</v>
      </c>
      <c r="F13" s="40" t="s">
        <v>172</v>
      </c>
      <c r="G13" s="45">
        <v>42000</v>
      </c>
      <c r="H13" s="45">
        <v>522.4</v>
      </c>
      <c r="I13" s="47">
        <v>25</v>
      </c>
      <c r="J13" s="47">
        <v>100</v>
      </c>
      <c r="K13" s="47">
        <f t="shared" si="4"/>
        <v>1205.4</v>
      </c>
      <c r="L13" s="47">
        <f t="shared" si="5"/>
        <v>2981.9999999999995</v>
      </c>
      <c r="M13" s="47">
        <f>+G13*1.1%</f>
        <v>462.00000000000006</v>
      </c>
      <c r="N13" s="47">
        <f t="shared" si="6"/>
        <v>1276.8</v>
      </c>
      <c r="O13" s="47">
        <f t="shared" si="7"/>
        <v>2977.8</v>
      </c>
      <c r="P13" s="47"/>
      <c r="Q13" s="47"/>
      <c r="R13" s="47">
        <v>1350.12</v>
      </c>
      <c r="S13" s="47">
        <f t="shared" si="0"/>
        <v>10254.119999999999</v>
      </c>
      <c r="T13" s="47">
        <f t="shared" si="1"/>
        <v>2482.2</v>
      </c>
      <c r="U13" s="47">
        <f t="shared" si="2"/>
        <v>6421.799999999999</v>
      </c>
      <c r="V13" s="47">
        <f t="shared" si="3"/>
        <v>37520.28</v>
      </c>
      <c r="W13" s="51">
        <v>111</v>
      </c>
      <c r="X13" s="2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6" customFormat="1" ht="52.5" customHeight="1">
      <c r="A14" s="50">
        <f t="shared" si="8"/>
        <v>6</v>
      </c>
      <c r="B14" s="38" t="s">
        <v>40</v>
      </c>
      <c r="C14" s="40" t="s">
        <v>224</v>
      </c>
      <c r="D14" s="38" t="s">
        <v>64</v>
      </c>
      <c r="E14" s="40" t="s">
        <v>0</v>
      </c>
      <c r="F14" s="40" t="s">
        <v>171</v>
      </c>
      <c r="G14" s="45">
        <v>54264.15</v>
      </c>
      <c r="H14" s="45"/>
      <c r="I14" s="47">
        <v>25</v>
      </c>
      <c r="J14" s="47">
        <v>100</v>
      </c>
      <c r="K14" s="47">
        <f t="shared" si="4"/>
        <v>1557.381105</v>
      </c>
      <c r="L14" s="47">
        <f t="shared" si="5"/>
        <v>3852.75465</v>
      </c>
      <c r="M14" s="47">
        <f>G14*1.1%</f>
        <v>596.90565</v>
      </c>
      <c r="N14" s="47">
        <f t="shared" si="6"/>
        <v>1649.63016</v>
      </c>
      <c r="O14" s="47">
        <f t="shared" si="7"/>
        <v>3847.3282350000004</v>
      </c>
      <c r="P14" s="47"/>
      <c r="Q14" s="47"/>
      <c r="R14" s="47">
        <v>0</v>
      </c>
      <c r="S14" s="47">
        <f t="shared" si="0"/>
        <v>11503.9998</v>
      </c>
      <c r="T14" s="47">
        <f t="shared" si="1"/>
        <v>3207.011265</v>
      </c>
      <c r="U14" s="47">
        <f t="shared" si="2"/>
        <v>8296.988535</v>
      </c>
      <c r="V14" s="47">
        <f t="shared" si="3"/>
        <v>50932.138735</v>
      </c>
      <c r="W14" s="51">
        <v>111</v>
      </c>
      <c r="X14" s="24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6" customFormat="1" ht="52.5" customHeight="1">
      <c r="A15" s="50">
        <f t="shared" si="8"/>
        <v>7</v>
      </c>
      <c r="B15" s="38" t="s">
        <v>20</v>
      </c>
      <c r="C15" s="40" t="s">
        <v>224</v>
      </c>
      <c r="D15" s="38" t="s">
        <v>65</v>
      </c>
      <c r="E15" s="40" t="s">
        <v>0</v>
      </c>
      <c r="F15" s="40" t="s">
        <v>172</v>
      </c>
      <c r="G15" s="45">
        <v>65376.02</v>
      </c>
      <c r="H15" s="45">
        <v>4498.34</v>
      </c>
      <c r="I15" s="47">
        <v>25</v>
      </c>
      <c r="J15" s="47">
        <v>100</v>
      </c>
      <c r="K15" s="47">
        <f t="shared" si="4"/>
        <v>1876.2917739999998</v>
      </c>
      <c r="L15" s="47">
        <f t="shared" si="5"/>
        <v>4641.6974199999995</v>
      </c>
      <c r="M15" s="47">
        <f>65050*1.1%</f>
        <v>715.5500000000001</v>
      </c>
      <c r="N15" s="47">
        <f t="shared" si="6"/>
        <v>1987.4310079999998</v>
      </c>
      <c r="O15" s="47">
        <f t="shared" si="7"/>
        <v>4635.159818</v>
      </c>
      <c r="P15" s="47"/>
      <c r="Q15" s="47"/>
      <c r="R15" s="47"/>
      <c r="S15" s="47">
        <f t="shared" si="0"/>
        <v>13856.13002</v>
      </c>
      <c r="T15" s="47">
        <f t="shared" si="1"/>
        <v>3863.722782</v>
      </c>
      <c r="U15" s="47">
        <f t="shared" si="2"/>
        <v>9992.407238</v>
      </c>
      <c r="V15" s="47">
        <f t="shared" si="3"/>
        <v>56888.957217999996</v>
      </c>
      <c r="W15" s="51">
        <v>111</v>
      </c>
      <c r="X15" s="24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6" customFormat="1" ht="52.5" customHeight="1">
      <c r="A16" s="50">
        <f>A15+1</f>
        <v>8</v>
      </c>
      <c r="B16" s="38" t="s">
        <v>209</v>
      </c>
      <c r="C16" s="40" t="s">
        <v>224</v>
      </c>
      <c r="D16" s="38" t="s">
        <v>129</v>
      </c>
      <c r="E16" s="40" t="s">
        <v>167</v>
      </c>
      <c r="F16" s="40" t="s">
        <v>172</v>
      </c>
      <c r="G16" s="45">
        <v>15180</v>
      </c>
      <c r="H16" s="45"/>
      <c r="I16" s="47">
        <v>25</v>
      </c>
      <c r="J16" s="47"/>
      <c r="K16" s="47">
        <f t="shared" si="4"/>
        <v>435.666</v>
      </c>
      <c r="L16" s="47">
        <f t="shared" si="5"/>
        <v>1077.78</v>
      </c>
      <c r="M16" s="47">
        <f aca="true" t="shared" si="9" ref="M16:M22">+G16*1.1%</f>
        <v>166.98000000000002</v>
      </c>
      <c r="N16" s="47">
        <f t="shared" si="6"/>
        <v>461.472</v>
      </c>
      <c r="O16" s="47">
        <f t="shared" si="7"/>
        <v>1076.2620000000002</v>
      </c>
      <c r="P16" s="47"/>
      <c r="Q16" s="47"/>
      <c r="R16" s="47"/>
      <c r="S16" s="47">
        <f t="shared" si="0"/>
        <v>3218.1600000000003</v>
      </c>
      <c r="T16" s="47">
        <f t="shared" si="1"/>
        <v>897.1379999999999</v>
      </c>
      <c r="U16" s="47">
        <f t="shared" si="2"/>
        <v>2321.022</v>
      </c>
      <c r="V16" s="47">
        <f t="shared" si="3"/>
        <v>14257.862000000001</v>
      </c>
      <c r="W16" s="51">
        <v>111</v>
      </c>
      <c r="X16" s="2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6" customFormat="1" ht="52.5" customHeight="1">
      <c r="A17" s="50">
        <f>A16+1</f>
        <v>9</v>
      </c>
      <c r="B17" s="38" t="s">
        <v>128</v>
      </c>
      <c r="C17" s="40" t="s">
        <v>224</v>
      </c>
      <c r="D17" s="38" t="s">
        <v>129</v>
      </c>
      <c r="E17" s="40" t="s">
        <v>167</v>
      </c>
      <c r="F17" s="40" t="s">
        <v>171</v>
      </c>
      <c r="G17" s="45">
        <v>19000</v>
      </c>
      <c r="H17" s="45"/>
      <c r="I17" s="47">
        <v>25</v>
      </c>
      <c r="J17" s="47"/>
      <c r="K17" s="47">
        <f t="shared" si="4"/>
        <v>545.3</v>
      </c>
      <c r="L17" s="47">
        <f t="shared" si="5"/>
        <v>1348.9999999999998</v>
      </c>
      <c r="M17" s="47">
        <f t="shared" si="9"/>
        <v>209.00000000000003</v>
      </c>
      <c r="N17" s="47">
        <f t="shared" si="6"/>
        <v>577.6</v>
      </c>
      <c r="O17" s="47">
        <f t="shared" si="7"/>
        <v>1347.1000000000001</v>
      </c>
      <c r="P17" s="47"/>
      <c r="Q17" s="47"/>
      <c r="R17" s="47">
        <v>0</v>
      </c>
      <c r="S17" s="47">
        <f t="shared" si="0"/>
        <v>4028</v>
      </c>
      <c r="T17" s="47">
        <f t="shared" si="1"/>
        <v>1122.9</v>
      </c>
      <c r="U17" s="47">
        <f t="shared" si="2"/>
        <v>2905.1</v>
      </c>
      <c r="V17" s="47">
        <f t="shared" si="3"/>
        <v>17852.1</v>
      </c>
      <c r="W17" s="51">
        <v>111</v>
      </c>
      <c r="X17" s="2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6" customFormat="1" ht="52.5" customHeight="1">
      <c r="A18" s="50">
        <f t="shared" si="8"/>
        <v>10</v>
      </c>
      <c r="B18" s="38" t="s">
        <v>91</v>
      </c>
      <c r="C18" s="40" t="s">
        <v>224</v>
      </c>
      <c r="D18" s="38" t="s">
        <v>94</v>
      </c>
      <c r="E18" s="40" t="s">
        <v>167</v>
      </c>
      <c r="F18" s="40" t="s">
        <v>171</v>
      </c>
      <c r="G18" s="45">
        <v>35000</v>
      </c>
      <c r="H18" s="45"/>
      <c r="I18" s="47">
        <v>25</v>
      </c>
      <c r="J18" s="47">
        <v>100</v>
      </c>
      <c r="K18" s="47">
        <f t="shared" si="4"/>
        <v>1004.5</v>
      </c>
      <c r="L18" s="47">
        <f t="shared" si="5"/>
        <v>2485</v>
      </c>
      <c r="M18" s="47">
        <f t="shared" si="9"/>
        <v>385.00000000000006</v>
      </c>
      <c r="N18" s="47">
        <f t="shared" si="6"/>
        <v>1064</v>
      </c>
      <c r="O18" s="47">
        <f t="shared" si="7"/>
        <v>2481.5</v>
      </c>
      <c r="P18" s="47"/>
      <c r="Q18" s="47"/>
      <c r="R18" s="47">
        <v>0</v>
      </c>
      <c r="S18" s="47">
        <f t="shared" si="0"/>
        <v>7420</v>
      </c>
      <c r="T18" s="47">
        <f t="shared" si="1"/>
        <v>2068.5</v>
      </c>
      <c r="U18" s="47">
        <f t="shared" si="2"/>
        <v>5351.5</v>
      </c>
      <c r="V18" s="47">
        <f t="shared" si="3"/>
        <v>32806.5</v>
      </c>
      <c r="W18" s="51">
        <v>111</v>
      </c>
      <c r="X18" s="24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6" customFormat="1" ht="52.5" customHeight="1">
      <c r="A19" s="50">
        <f aca="true" t="shared" si="10" ref="A19:A27">A18+1</f>
        <v>11</v>
      </c>
      <c r="B19" s="38" t="s">
        <v>225</v>
      </c>
      <c r="C19" s="40" t="s">
        <v>224</v>
      </c>
      <c r="D19" s="38" t="s">
        <v>226</v>
      </c>
      <c r="E19" s="40" t="s">
        <v>227</v>
      </c>
      <c r="F19" s="40" t="s">
        <v>171</v>
      </c>
      <c r="G19" s="45">
        <v>30000</v>
      </c>
      <c r="H19" s="45"/>
      <c r="I19" s="47">
        <v>25</v>
      </c>
      <c r="J19" s="47">
        <v>100</v>
      </c>
      <c r="K19" s="47">
        <f aca="true" t="shared" si="11" ref="K19:K31">+G19*2.87%</f>
        <v>861</v>
      </c>
      <c r="L19" s="47">
        <f aca="true" t="shared" si="12" ref="L19:L31">+G19*7.1%</f>
        <v>2130</v>
      </c>
      <c r="M19" s="47">
        <f t="shared" si="9"/>
        <v>330.00000000000006</v>
      </c>
      <c r="N19" s="47">
        <f aca="true" t="shared" si="13" ref="N19:N31">+G19*3.04%</f>
        <v>912</v>
      </c>
      <c r="O19" s="47">
        <f aca="true" t="shared" si="14" ref="O19:O31">+G19*7.09%</f>
        <v>2127</v>
      </c>
      <c r="P19" s="47"/>
      <c r="Q19" s="47"/>
      <c r="R19" s="47">
        <v>0</v>
      </c>
      <c r="S19" s="47">
        <f t="shared" si="0"/>
        <v>6360</v>
      </c>
      <c r="T19" s="47">
        <f t="shared" si="1"/>
        <v>1773</v>
      </c>
      <c r="U19" s="47">
        <f t="shared" si="2"/>
        <v>4587</v>
      </c>
      <c r="V19" s="47">
        <f t="shared" si="3"/>
        <v>28102</v>
      </c>
      <c r="W19" s="51">
        <v>111</v>
      </c>
      <c r="X19" s="2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6" customFormat="1" ht="52.5" customHeight="1">
      <c r="A20" s="50">
        <f t="shared" si="10"/>
        <v>12</v>
      </c>
      <c r="B20" s="38" t="s">
        <v>228</v>
      </c>
      <c r="C20" s="40" t="s">
        <v>224</v>
      </c>
      <c r="D20" s="38" t="s">
        <v>129</v>
      </c>
      <c r="E20" s="40" t="s">
        <v>227</v>
      </c>
      <c r="F20" s="40" t="s">
        <v>171</v>
      </c>
      <c r="G20" s="45">
        <v>18000</v>
      </c>
      <c r="H20" s="45"/>
      <c r="I20" s="47">
        <v>25</v>
      </c>
      <c r="J20" s="47">
        <v>100</v>
      </c>
      <c r="K20" s="47">
        <f t="shared" si="11"/>
        <v>516.6</v>
      </c>
      <c r="L20" s="47">
        <f t="shared" si="12"/>
        <v>1277.9999999999998</v>
      </c>
      <c r="M20" s="47">
        <f t="shared" si="9"/>
        <v>198.00000000000003</v>
      </c>
      <c r="N20" s="47">
        <f t="shared" si="13"/>
        <v>547.2</v>
      </c>
      <c r="O20" s="47">
        <f t="shared" si="14"/>
        <v>1276.2</v>
      </c>
      <c r="P20" s="47"/>
      <c r="Q20" s="47"/>
      <c r="R20" s="47">
        <v>0</v>
      </c>
      <c r="S20" s="47">
        <f t="shared" si="0"/>
        <v>3816</v>
      </c>
      <c r="T20" s="47">
        <f t="shared" si="1"/>
        <v>1063.8000000000002</v>
      </c>
      <c r="U20" s="47">
        <f t="shared" si="2"/>
        <v>2752.2</v>
      </c>
      <c r="V20" s="47">
        <f t="shared" si="3"/>
        <v>16811.2</v>
      </c>
      <c r="W20" s="51">
        <v>111</v>
      </c>
      <c r="X20" s="24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6" customFormat="1" ht="52.5" customHeight="1">
      <c r="A21" s="50">
        <f t="shared" si="10"/>
        <v>13</v>
      </c>
      <c r="B21" s="38" t="s">
        <v>229</v>
      </c>
      <c r="C21" s="40" t="s">
        <v>224</v>
      </c>
      <c r="D21" s="38" t="s">
        <v>129</v>
      </c>
      <c r="E21" s="40" t="s">
        <v>227</v>
      </c>
      <c r="F21" s="40" t="s">
        <v>171</v>
      </c>
      <c r="G21" s="45">
        <v>22000</v>
      </c>
      <c r="H21" s="45"/>
      <c r="I21" s="47">
        <v>25</v>
      </c>
      <c r="J21" s="47">
        <v>100</v>
      </c>
      <c r="K21" s="47">
        <f t="shared" si="11"/>
        <v>631.4</v>
      </c>
      <c r="L21" s="47">
        <f t="shared" si="12"/>
        <v>1561.9999999999998</v>
      </c>
      <c r="M21" s="47">
        <f t="shared" si="9"/>
        <v>242.00000000000003</v>
      </c>
      <c r="N21" s="47">
        <f t="shared" si="13"/>
        <v>668.8</v>
      </c>
      <c r="O21" s="47">
        <f t="shared" si="14"/>
        <v>1559.8000000000002</v>
      </c>
      <c r="P21" s="47"/>
      <c r="Q21" s="47"/>
      <c r="R21" s="47">
        <v>0</v>
      </c>
      <c r="S21" s="47">
        <f t="shared" si="0"/>
        <v>4664</v>
      </c>
      <c r="T21" s="47">
        <f t="shared" si="1"/>
        <v>1300.1999999999998</v>
      </c>
      <c r="U21" s="47">
        <f t="shared" si="2"/>
        <v>3363.8</v>
      </c>
      <c r="V21" s="47">
        <f t="shared" si="3"/>
        <v>20574.8</v>
      </c>
      <c r="W21" s="51">
        <v>111</v>
      </c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6" customFormat="1" ht="52.5" customHeight="1">
      <c r="A22" s="50">
        <f t="shared" si="10"/>
        <v>14</v>
      </c>
      <c r="B22" s="38" t="s">
        <v>230</v>
      </c>
      <c r="C22" s="40" t="s">
        <v>224</v>
      </c>
      <c r="D22" s="38" t="s">
        <v>129</v>
      </c>
      <c r="E22" s="40" t="s">
        <v>227</v>
      </c>
      <c r="F22" s="40" t="s">
        <v>223</v>
      </c>
      <c r="G22" s="45">
        <v>16000</v>
      </c>
      <c r="H22" s="45"/>
      <c r="I22" s="47">
        <v>25</v>
      </c>
      <c r="J22" s="47">
        <v>100</v>
      </c>
      <c r="K22" s="47">
        <f t="shared" si="11"/>
        <v>459.2</v>
      </c>
      <c r="L22" s="47">
        <f t="shared" si="12"/>
        <v>1136</v>
      </c>
      <c r="M22" s="47">
        <f t="shared" si="9"/>
        <v>176.00000000000003</v>
      </c>
      <c r="N22" s="47">
        <f t="shared" si="13"/>
        <v>486.4</v>
      </c>
      <c r="O22" s="47">
        <f t="shared" si="14"/>
        <v>1134.4</v>
      </c>
      <c r="P22" s="47"/>
      <c r="Q22" s="47"/>
      <c r="R22" s="47">
        <v>0</v>
      </c>
      <c r="S22" s="47">
        <f t="shared" si="0"/>
        <v>3392</v>
      </c>
      <c r="T22" s="47">
        <f t="shared" si="1"/>
        <v>945.5999999999999</v>
      </c>
      <c r="U22" s="47">
        <f t="shared" si="2"/>
        <v>2446.4</v>
      </c>
      <c r="V22" s="47">
        <f t="shared" si="3"/>
        <v>14929.4</v>
      </c>
      <c r="W22" s="51">
        <v>111</v>
      </c>
      <c r="X22" s="24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6" customFormat="1" ht="52.5" customHeight="1">
      <c r="A23" s="50">
        <f t="shared" si="10"/>
        <v>15</v>
      </c>
      <c r="B23" s="38" t="s">
        <v>251</v>
      </c>
      <c r="C23" s="40" t="s">
        <v>224</v>
      </c>
      <c r="D23" s="38" t="s">
        <v>252</v>
      </c>
      <c r="E23" s="40" t="s">
        <v>227</v>
      </c>
      <c r="F23" s="40" t="s">
        <v>171</v>
      </c>
      <c r="G23" s="45">
        <v>14000</v>
      </c>
      <c r="H23" s="45"/>
      <c r="I23" s="47">
        <v>25</v>
      </c>
      <c r="J23" s="47"/>
      <c r="K23" s="47">
        <f aca="true" t="shared" si="15" ref="K23:K28">+G23*2.87%</f>
        <v>401.8</v>
      </c>
      <c r="L23" s="47">
        <f aca="true" t="shared" si="16" ref="L23:L28">+G23*7.1%</f>
        <v>993.9999999999999</v>
      </c>
      <c r="M23" s="47">
        <f aca="true" t="shared" si="17" ref="M23:M28">+G23*1.1%</f>
        <v>154.00000000000003</v>
      </c>
      <c r="N23" s="47">
        <f aca="true" t="shared" si="18" ref="N23:N28">+G23*3.04%</f>
        <v>425.6</v>
      </c>
      <c r="O23" s="47">
        <f aca="true" t="shared" si="19" ref="O23:O28">+G23*7.09%</f>
        <v>992.6</v>
      </c>
      <c r="P23" s="47"/>
      <c r="Q23" s="47"/>
      <c r="R23" s="47">
        <v>0</v>
      </c>
      <c r="S23" s="47">
        <f aca="true" t="shared" si="20" ref="S23:S28">SUM(K23:R23)</f>
        <v>2968</v>
      </c>
      <c r="T23" s="47">
        <f aca="true" t="shared" si="21" ref="T23:T28">+K23+N23</f>
        <v>827.4000000000001</v>
      </c>
      <c r="U23" s="47">
        <f aca="true" t="shared" si="22" ref="U23:U28">+L23+M23+O23</f>
        <v>2140.6</v>
      </c>
      <c r="V23" s="47">
        <f aca="true" t="shared" si="23" ref="V23:V28">+G23-T23-H23-I23-R23-J23</f>
        <v>13147.6</v>
      </c>
      <c r="W23" s="51">
        <v>111</v>
      </c>
      <c r="X23" s="2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6" customFormat="1" ht="52.5" customHeight="1">
      <c r="A24" s="50">
        <f t="shared" si="10"/>
        <v>16</v>
      </c>
      <c r="B24" s="38" t="s">
        <v>253</v>
      </c>
      <c r="C24" s="40" t="s">
        <v>224</v>
      </c>
      <c r="D24" s="38" t="s">
        <v>252</v>
      </c>
      <c r="E24" s="40" t="s">
        <v>227</v>
      </c>
      <c r="F24" s="40" t="s">
        <v>171</v>
      </c>
      <c r="G24" s="45">
        <v>16000</v>
      </c>
      <c r="H24" s="45"/>
      <c r="I24" s="47">
        <v>25</v>
      </c>
      <c r="J24" s="47"/>
      <c r="K24" s="47">
        <f t="shared" si="15"/>
        <v>459.2</v>
      </c>
      <c r="L24" s="47">
        <f t="shared" si="16"/>
        <v>1136</v>
      </c>
      <c r="M24" s="47">
        <f t="shared" si="17"/>
        <v>176.00000000000003</v>
      </c>
      <c r="N24" s="47">
        <f t="shared" si="18"/>
        <v>486.4</v>
      </c>
      <c r="O24" s="47">
        <f t="shared" si="19"/>
        <v>1134.4</v>
      </c>
      <c r="P24" s="47"/>
      <c r="Q24" s="47"/>
      <c r="R24" s="47">
        <v>0</v>
      </c>
      <c r="S24" s="47">
        <f t="shared" si="20"/>
        <v>3392</v>
      </c>
      <c r="T24" s="47">
        <f t="shared" si="21"/>
        <v>945.5999999999999</v>
      </c>
      <c r="U24" s="47">
        <f t="shared" si="22"/>
        <v>2446.4</v>
      </c>
      <c r="V24" s="47">
        <f t="shared" si="23"/>
        <v>15029.4</v>
      </c>
      <c r="W24" s="51">
        <v>111</v>
      </c>
      <c r="X24" s="24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6" customFormat="1" ht="52.5" customHeight="1">
      <c r="A25" s="50">
        <f t="shared" si="10"/>
        <v>17</v>
      </c>
      <c r="B25" s="38" t="s">
        <v>254</v>
      </c>
      <c r="C25" s="40" t="s">
        <v>224</v>
      </c>
      <c r="D25" s="38" t="s">
        <v>252</v>
      </c>
      <c r="E25" s="40" t="s">
        <v>227</v>
      </c>
      <c r="F25" s="40" t="s">
        <v>171</v>
      </c>
      <c r="G25" s="45">
        <v>15180</v>
      </c>
      <c r="H25" s="45"/>
      <c r="I25" s="47">
        <v>25</v>
      </c>
      <c r="J25" s="47"/>
      <c r="K25" s="47">
        <f t="shared" si="15"/>
        <v>435.666</v>
      </c>
      <c r="L25" s="47">
        <f t="shared" si="16"/>
        <v>1077.78</v>
      </c>
      <c r="M25" s="47">
        <f t="shared" si="17"/>
        <v>166.98000000000002</v>
      </c>
      <c r="N25" s="47">
        <f t="shared" si="18"/>
        <v>461.472</v>
      </c>
      <c r="O25" s="47">
        <f t="shared" si="19"/>
        <v>1076.2620000000002</v>
      </c>
      <c r="P25" s="47"/>
      <c r="Q25" s="47"/>
      <c r="R25" s="47">
        <v>0</v>
      </c>
      <c r="S25" s="47">
        <f t="shared" si="20"/>
        <v>3218.1600000000003</v>
      </c>
      <c r="T25" s="47">
        <f t="shared" si="21"/>
        <v>897.1379999999999</v>
      </c>
      <c r="U25" s="47">
        <f t="shared" si="22"/>
        <v>2321.022</v>
      </c>
      <c r="V25" s="47">
        <f t="shared" si="23"/>
        <v>14257.862000000001</v>
      </c>
      <c r="W25" s="51">
        <v>111</v>
      </c>
      <c r="X25" s="2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6" customFormat="1" ht="52.5" customHeight="1">
      <c r="A26" s="50">
        <f t="shared" si="10"/>
        <v>18</v>
      </c>
      <c r="B26" s="38" t="s">
        <v>255</v>
      </c>
      <c r="C26" s="40" t="s">
        <v>224</v>
      </c>
      <c r="D26" s="38" t="s">
        <v>252</v>
      </c>
      <c r="E26" s="40" t="s">
        <v>227</v>
      </c>
      <c r="F26" s="40" t="s">
        <v>171</v>
      </c>
      <c r="G26" s="45">
        <v>14003.19</v>
      </c>
      <c r="H26" s="45"/>
      <c r="I26" s="47">
        <v>25</v>
      </c>
      <c r="J26" s="47">
        <v>100</v>
      </c>
      <c r="K26" s="47">
        <f t="shared" si="15"/>
        <v>401.891553</v>
      </c>
      <c r="L26" s="47">
        <f t="shared" si="16"/>
        <v>994.2264899999999</v>
      </c>
      <c r="M26" s="47">
        <f t="shared" si="17"/>
        <v>154.03509000000003</v>
      </c>
      <c r="N26" s="47">
        <f t="shared" si="18"/>
        <v>425.696976</v>
      </c>
      <c r="O26" s="47">
        <f t="shared" si="19"/>
        <v>992.8261710000002</v>
      </c>
      <c r="P26" s="47"/>
      <c r="Q26" s="47"/>
      <c r="R26" s="47">
        <v>0</v>
      </c>
      <c r="S26" s="47">
        <f t="shared" si="20"/>
        <v>2968.67628</v>
      </c>
      <c r="T26" s="47">
        <f t="shared" si="21"/>
        <v>827.588529</v>
      </c>
      <c r="U26" s="47">
        <f t="shared" si="22"/>
        <v>2141.087751</v>
      </c>
      <c r="V26" s="47">
        <f t="shared" si="23"/>
        <v>13050.601471</v>
      </c>
      <c r="W26" s="51">
        <v>111</v>
      </c>
      <c r="X26" s="24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6" customFormat="1" ht="52.5" customHeight="1">
      <c r="A27" s="50">
        <f t="shared" si="10"/>
        <v>19</v>
      </c>
      <c r="B27" s="38" t="s">
        <v>256</v>
      </c>
      <c r="C27" s="40" t="s">
        <v>224</v>
      </c>
      <c r="D27" s="38" t="s">
        <v>252</v>
      </c>
      <c r="E27" s="40" t="s">
        <v>227</v>
      </c>
      <c r="F27" s="40" t="s">
        <v>171</v>
      </c>
      <c r="G27" s="45">
        <v>14003.19</v>
      </c>
      <c r="H27" s="45"/>
      <c r="I27" s="47">
        <v>25</v>
      </c>
      <c r="J27" s="47">
        <v>100</v>
      </c>
      <c r="K27" s="47">
        <f t="shared" si="15"/>
        <v>401.891553</v>
      </c>
      <c r="L27" s="47">
        <f t="shared" si="16"/>
        <v>994.2264899999999</v>
      </c>
      <c r="M27" s="47">
        <f t="shared" si="17"/>
        <v>154.03509000000003</v>
      </c>
      <c r="N27" s="47">
        <f t="shared" si="18"/>
        <v>425.696976</v>
      </c>
      <c r="O27" s="47">
        <f t="shared" si="19"/>
        <v>992.8261710000002</v>
      </c>
      <c r="P27" s="47"/>
      <c r="Q27" s="47"/>
      <c r="R27" s="47">
        <v>1350.12</v>
      </c>
      <c r="S27" s="47">
        <f t="shared" si="20"/>
        <v>4318.7962800000005</v>
      </c>
      <c r="T27" s="47">
        <f t="shared" si="21"/>
        <v>827.588529</v>
      </c>
      <c r="U27" s="47">
        <f t="shared" si="22"/>
        <v>2141.087751</v>
      </c>
      <c r="V27" s="47">
        <f t="shared" si="23"/>
        <v>11700.481471</v>
      </c>
      <c r="W27" s="51">
        <v>111</v>
      </c>
      <c r="X27" s="2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6" customFormat="1" ht="52.5" customHeight="1">
      <c r="A28" s="50"/>
      <c r="B28" s="38" t="s">
        <v>261</v>
      </c>
      <c r="C28" s="40" t="s">
        <v>224</v>
      </c>
      <c r="D28" s="38" t="s">
        <v>262</v>
      </c>
      <c r="E28" s="40" t="s">
        <v>227</v>
      </c>
      <c r="F28" s="40" t="s">
        <v>223</v>
      </c>
      <c r="G28" s="45">
        <v>35000</v>
      </c>
      <c r="H28" s="45"/>
      <c r="I28" s="47">
        <v>25</v>
      </c>
      <c r="J28" s="47"/>
      <c r="K28" s="47">
        <f t="shared" si="15"/>
        <v>1004.5</v>
      </c>
      <c r="L28" s="47">
        <f t="shared" si="16"/>
        <v>2485</v>
      </c>
      <c r="M28" s="47">
        <f t="shared" si="17"/>
        <v>385.00000000000006</v>
      </c>
      <c r="N28" s="47">
        <f t="shared" si="18"/>
        <v>1064</v>
      </c>
      <c r="O28" s="47">
        <f t="shared" si="19"/>
        <v>2481.5</v>
      </c>
      <c r="P28" s="47"/>
      <c r="Q28" s="47"/>
      <c r="R28" s="47"/>
      <c r="S28" s="47">
        <f t="shared" si="20"/>
        <v>7420</v>
      </c>
      <c r="T28" s="47">
        <f t="shared" si="21"/>
        <v>2068.5</v>
      </c>
      <c r="U28" s="47">
        <f t="shared" si="22"/>
        <v>5351.5</v>
      </c>
      <c r="V28" s="47">
        <f t="shared" si="23"/>
        <v>32906.5</v>
      </c>
      <c r="W28" s="51">
        <v>111</v>
      </c>
      <c r="X28" s="24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6" customFormat="1" ht="60">
      <c r="A29" s="50">
        <f>A27+1</f>
        <v>20</v>
      </c>
      <c r="B29" s="38" t="s">
        <v>39</v>
      </c>
      <c r="C29" s="40" t="s">
        <v>211</v>
      </c>
      <c r="D29" s="38" t="s">
        <v>66</v>
      </c>
      <c r="E29" s="40" t="s">
        <v>0</v>
      </c>
      <c r="F29" s="40" t="s">
        <v>223</v>
      </c>
      <c r="G29" s="45">
        <v>120000</v>
      </c>
      <c r="H29" s="45">
        <v>16809.87</v>
      </c>
      <c r="I29" s="47">
        <v>25</v>
      </c>
      <c r="J29" s="47">
        <v>100</v>
      </c>
      <c r="K29" s="47">
        <f t="shared" si="11"/>
        <v>3444</v>
      </c>
      <c r="L29" s="47">
        <f t="shared" si="12"/>
        <v>8520</v>
      </c>
      <c r="M29" s="47">
        <f>65050*1.1%</f>
        <v>715.5500000000001</v>
      </c>
      <c r="N29" s="47">
        <f t="shared" si="13"/>
        <v>3648</v>
      </c>
      <c r="O29" s="47">
        <f t="shared" si="14"/>
        <v>8508</v>
      </c>
      <c r="P29" s="47"/>
      <c r="Q29" s="47"/>
      <c r="R29" s="47">
        <v>0</v>
      </c>
      <c r="S29" s="47">
        <f t="shared" si="0"/>
        <v>24835.55</v>
      </c>
      <c r="T29" s="47">
        <f t="shared" si="1"/>
        <v>7092</v>
      </c>
      <c r="U29" s="47">
        <f t="shared" si="2"/>
        <v>17743.55</v>
      </c>
      <c r="V29" s="47">
        <f t="shared" si="3"/>
        <v>95973.13</v>
      </c>
      <c r="W29" s="51">
        <v>111</v>
      </c>
      <c r="X29" s="2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6" customFormat="1" ht="60">
      <c r="A30" s="50">
        <f t="shared" si="8"/>
        <v>21</v>
      </c>
      <c r="B30" s="38" t="s">
        <v>19</v>
      </c>
      <c r="C30" s="40" t="s">
        <v>211</v>
      </c>
      <c r="D30" s="38" t="s">
        <v>44</v>
      </c>
      <c r="E30" s="40" t="s">
        <v>0</v>
      </c>
      <c r="F30" s="40" t="s">
        <v>223</v>
      </c>
      <c r="G30" s="45">
        <v>45000</v>
      </c>
      <c r="H30" s="45">
        <v>1148.33</v>
      </c>
      <c r="I30" s="47">
        <v>25</v>
      </c>
      <c r="J30" s="47">
        <v>100</v>
      </c>
      <c r="K30" s="47">
        <f t="shared" si="11"/>
        <v>1291.5</v>
      </c>
      <c r="L30" s="47">
        <f t="shared" si="12"/>
        <v>3194.9999999999995</v>
      </c>
      <c r="M30" s="47">
        <f>+G30*1.1%</f>
        <v>495.00000000000006</v>
      </c>
      <c r="N30" s="47">
        <f t="shared" si="13"/>
        <v>1368</v>
      </c>
      <c r="O30" s="47">
        <f t="shared" si="14"/>
        <v>3190.5</v>
      </c>
      <c r="P30" s="47"/>
      <c r="Q30" s="47">
        <v>300</v>
      </c>
      <c r="R30" s="47">
        <v>0</v>
      </c>
      <c r="S30" s="47">
        <f t="shared" si="0"/>
        <v>9840</v>
      </c>
      <c r="T30" s="47">
        <f t="shared" si="1"/>
        <v>2659.5</v>
      </c>
      <c r="U30" s="47">
        <f t="shared" si="2"/>
        <v>6880.5</v>
      </c>
      <c r="V30" s="47">
        <f t="shared" si="3"/>
        <v>41067.17</v>
      </c>
      <c r="W30" s="51">
        <v>111</v>
      </c>
      <c r="X30" s="24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6" customFormat="1" ht="60">
      <c r="A31" s="50">
        <f t="shared" si="8"/>
        <v>22</v>
      </c>
      <c r="B31" s="38" t="s">
        <v>38</v>
      </c>
      <c r="C31" s="40" t="s">
        <v>211</v>
      </c>
      <c r="D31" s="38" t="s">
        <v>67</v>
      </c>
      <c r="E31" s="40" t="s">
        <v>0</v>
      </c>
      <c r="F31" s="40" t="s">
        <v>223</v>
      </c>
      <c r="G31" s="45">
        <v>85000</v>
      </c>
      <c r="H31" s="45">
        <v>7901.93</v>
      </c>
      <c r="I31" s="47">
        <v>25</v>
      </c>
      <c r="J31" s="47">
        <v>100</v>
      </c>
      <c r="K31" s="47">
        <f t="shared" si="11"/>
        <v>2439.5</v>
      </c>
      <c r="L31" s="47">
        <f t="shared" si="12"/>
        <v>6034.999999999999</v>
      </c>
      <c r="M31" s="47">
        <f aca="true" t="shared" si="24" ref="M31:M36">65050*1.1%</f>
        <v>715.5500000000001</v>
      </c>
      <c r="N31" s="47">
        <f t="shared" si="13"/>
        <v>2584</v>
      </c>
      <c r="O31" s="47">
        <f t="shared" si="14"/>
        <v>6026.5</v>
      </c>
      <c r="P31" s="47"/>
      <c r="Q31" s="47"/>
      <c r="R31" s="47">
        <v>2700.24</v>
      </c>
      <c r="S31" s="47">
        <f t="shared" si="0"/>
        <v>20500.79</v>
      </c>
      <c r="T31" s="47">
        <f t="shared" si="1"/>
        <v>5023.5</v>
      </c>
      <c r="U31" s="47">
        <f t="shared" si="2"/>
        <v>12777.05</v>
      </c>
      <c r="V31" s="47">
        <f t="shared" si="3"/>
        <v>69249.33</v>
      </c>
      <c r="W31" s="51">
        <v>111</v>
      </c>
      <c r="X31" s="2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26" customFormat="1" ht="48" customHeight="1">
      <c r="A32" s="50">
        <f t="shared" si="8"/>
        <v>23</v>
      </c>
      <c r="B32" s="38" t="s">
        <v>42</v>
      </c>
      <c r="C32" s="40" t="s">
        <v>212</v>
      </c>
      <c r="D32" s="38" t="s">
        <v>58</v>
      </c>
      <c r="E32" s="40" t="s">
        <v>0</v>
      </c>
      <c r="F32" s="40" t="s">
        <v>172</v>
      </c>
      <c r="G32" s="45">
        <v>152000</v>
      </c>
      <c r="H32" s="45">
        <v>24337.07</v>
      </c>
      <c r="I32" s="47">
        <v>25</v>
      </c>
      <c r="J32" s="47">
        <v>100</v>
      </c>
      <c r="K32" s="47">
        <f aca="true" t="shared" si="25" ref="K32:K40">+G32*2.87%</f>
        <v>4362.4</v>
      </c>
      <c r="L32" s="47">
        <f aca="true" t="shared" si="26" ref="L32:L40">+G32*7.1%</f>
        <v>10791.999999999998</v>
      </c>
      <c r="M32" s="47">
        <f t="shared" si="24"/>
        <v>715.5500000000001</v>
      </c>
      <c r="N32" s="47">
        <f>G32*3.04%</f>
        <v>4620.8</v>
      </c>
      <c r="O32" s="47">
        <f>G32*7.09%</f>
        <v>10776.800000000001</v>
      </c>
      <c r="P32" s="47"/>
      <c r="Q32" s="47"/>
      <c r="R32" s="47">
        <v>0</v>
      </c>
      <c r="S32" s="47">
        <f t="shared" si="0"/>
        <v>31267.549999999996</v>
      </c>
      <c r="T32" s="47">
        <f t="shared" si="1"/>
        <v>8983.2</v>
      </c>
      <c r="U32" s="47">
        <f t="shared" si="2"/>
        <v>22284.35</v>
      </c>
      <c r="V32" s="47">
        <f t="shared" si="3"/>
        <v>118554.72999999998</v>
      </c>
      <c r="W32" s="51">
        <v>111</v>
      </c>
      <c r="X32" s="24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s="26" customFormat="1" ht="48" customHeight="1">
      <c r="A33" s="50">
        <f t="shared" si="8"/>
        <v>24</v>
      </c>
      <c r="B33" s="38" t="s">
        <v>15</v>
      </c>
      <c r="C33" s="40" t="s">
        <v>212</v>
      </c>
      <c r="D33" s="38" t="s">
        <v>68</v>
      </c>
      <c r="E33" s="40" t="s">
        <v>0</v>
      </c>
      <c r="F33" s="40" t="s">
        <v>172</v>
      </c>
      <c r="G33" s="45">
        <v>92000</v>
      </c>
      <c r="H33" s="45">
        <v>10223.57</v>
      </c>
      <c r="I33" s="47">
        <v>25</v>
      </c>
      <c r="J33" s="47">
        <v>100</v>
      </c>
      <c r="K33" s="47">
        <f t="shared" si="25"/>
        <v>2640.4</v>
      </c>
      <c r="L33" s="47">
        <f t="shared" si="26"/>
        <v>6531.999999999999</v>
      </c>
      <c r="M33" s="47">
        <f t="shared" si="24"/>
        <v>715.5500000000001</v>
      </c>
      <c r="N33" s="47">
        <f aca="true" t="shared" si="27" ref="N33:N40">+G33*3.04%</f>
        <v>2796.8</v>
      </c>
      <c r="O33" s="47">
        <f aca="true" t="shared" si="28" ref="O33:O40">+G33*7.09%</f>
        <v>6522.8</v>
      </c>
      <c r="P33" s="47"/>
      <c r="Q33" s="47"/>
      <c r="R33" s="47">
        <v>0</v>
      </c>
      <c r="S33" s="47">
        <f t="shared" si="0"/>
        <v>19207.55</v>
      </c>
      <c r="T33" s="47">
        <f t="shared" si="1"/>
        <v>5437.200000000001</v>
      </c>
      <c r="U33" s="47">
        <f t="shared" si="2"/>
        <v>13770.349999999999</v>
      </c>
      <c r="V33" s="47">
        <f t="shared" si="3"/>
        <v>76214.23000000001</v>
      </c>
      <c r="W33" s="51">
        <v>111</v>
      </c>
      <c r="X33" s="2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s="26" customFormat="1" ht="48" customHeight="1">
      <c r="A34" s="50">
        <f t="shared" si="8"/>
        <v>25</v>
      </c>
      <c r="B34" s="38" t="s">
        <v>35</v>
      </c>
      <c r="C34" s="40" t="s">
        <v>212</v>
      </c>
      <c r="D34" s="38" t="s">
        <v>68</v>
      </c>
      <c r="E34" s="40" t="s">
        <v>0</v>
      </c>
      <c r="F34" s="40" t="s">
        <v>172</v>
      </c>
      <c r="G34" s="45">
        <v>88748.12</v>
      </c>
      <c r="H34" s="45">
        <v>9458.65</v>
      </c>
      <c r="I34" s="47">
        <v>25</v>
      </c>
      <c r="J34" s="47">
        <v>100</v>
      </c>
      <c r="K34" s="47">
        <f t="shared" si="25"/>
        <v>2547.071044</v>
      </c>
      <c r="L34" s="47">
        <f t="shared" si="26"/>
        <v>6301.116519999999</v>
      </c>
      <c r="M34" s="47">
        <f t="shared" si="24"/>
        <v>715.5500000000001</v>
      </c>
      <c r="N34" s="47">
        <f t="shared" si="27"/>
        <v>2697.9428479999997</v>
      </c>
      <c r="O34" s="47">
        <f t="shared" si="28"/>
        <v>6292.2417080000005</v>
      </c>
      <c r="P34" s="47"/>
      <c r="Q34" s="47"/>
      <c r="R34" s="47">
        <v>0</v>
      </c>
      <c r="S34" s="47">
        <f t="shared" si="0"/>
        <v>18553.92212</v>
      </c>
      <c r="T34" s="47">
        <f t="shared" si="1"/>
        <v>5245.013891999999</v>
      </c>
      <c r="U34" s="47">
        <f t="shared" si="2"/>
        <v>13308.908228</v>
      </c>
      <c r="V34" s="47">
        <f t="shared" si="3"/>
        <v>73919.456108</v>
      </c>
      <c r="W34" s="51">
        <v>111</v>
      </c>
      <c r="X34" s="24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6" customFormat="1" ht="48" customHeight="1">
      <c r="A35" s="50">
        <f t="shared" si="8"/>
        <v>26</v>
      </c>
      <c r="B35" s="38" t="s">
        <v>18</v>
      </c>
      <c r="C35" s="40" t="s">
        <v>212</v>
      </c>
      <c r="D35" s="38" t="s">
        <v>68</v>
      </c>
      <c r="E35" s="40" t="s">
        <v>0</v>
      </c>
      <c r="F35" s="40" t="s">
        <v>172</v>
      </c>
      <c r="G35" s="45">
        <v>88231.31</v>
      </c>
      <c r="H35" s="45">
        <v>9337.08</v>
      </c>
      <c r="I35" s="47">
        <v>25</v>
      </c>
      <c r="J35" s="47">
        <v>100</v>
      </c>
      <c r="K35" s="47">
        <f t="shared" si="25"/>
        <v>2532.238597</v>
      </c>
      <c r="L35" s="47">
        <f t="shared" si="26"/>
        <v>6264.4230099999995</v>
      </c>
      <c r="M35" s="47">
        <f t="shared" si="24"/>
        <v>715.5500000000001</v>
      </c>
      <c r="N35" s="47">
        <f t="shared" si="27"/>
        <v>2682.231824</v>
      </c>
      <c r="O35" s="47">
        <f t="shared" si="28"/>
        <v>6255.599879</v>
      </c>
      <c r="P35" s="47"/>
      <c r="Q35" s="47"/>
      <c r="R35" s="47">
        <v>0</v>
      </c>
      <c r="S35" s="47">
        <f t="shared" si="0"/>
        <v>18450.04331</v>
      </c>
      <c r="T35" s="47">
        <f t="shared" si="1"/>
        <v>5214.470421</v>
      </c>
      <c r="U35" s="47">
        <f t="shared" si="2"/>
        <v>13235.572889</v>
      </c>
      <c r="V35" s="47">
        <f t="shared" si="3"/>
        <v>73554.75957899999</v>
      </c>
      <c r="W35" s="51">
        <v>111</v>
      </c>
      <c r="X35" s="2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s="26" customFormat="1" ht="48" customHeight="1">
      <c r="A36" s="50">
        <f t="shared" si="8"/>
        <v>27</v>
      </c>
      <c r="B36" s="38" t="s">
        <v>31</v>
      </c>
      <c r="C36" s="40" t="s">
        <v>212</v>
      </c>
      <c r="D36" s="38" t="s">
        <v>54</v>
      </c>
      <c r="E36" s="40" t="s">
        <v>0</v>
      </c>
      <c r="F36" s="40" t="s">
        <v>171</v>
      </c>
      <c r="G36" s="45">
        <v>89781.76</v>
      </c>
      <c r="H36" s="45">
        <v>9701.78</v>
      </c>
      <c r="I36" s="47">
        <v>25</v>
      </c>
      <c r="J36" s="47">
        <v>100</v>
      </c>
      <c r="K36" s="47">
        <f t="shared" si="25"/>
        <v>2576.736512</v>
      </c>
      <c r="L36" s="47">
        <f t="shared" si="26"/>
        <v>6374.504959999999</v>
      </c>
      <c r="M36" s="47">
        <f t="shared" si="24"/>
        <v>715.5500000000001</v>
      </c>
      <c r="N36" s="47">
        <f t="shared" si="27"/>
        <v>2729.365504</v>
      </c>
      <c r="O36" s="47">
        <f t="shared" si="28"/>
        <v>6365.526784</v>
      </c>
      <c r="P36" s="47"/>
      <c r="Q36" s="47"/>
      <c r="R36" s="47"/>
      <c r="S36" s="47">
        <f t="shared" si="0"/>
        <v>18761.68376</v>
      </c>
      <c r="T36" s="47">
        <f t="shared" si="1"/>
        <v>5306.102016</v>
      </c>
      <c r="U36" s="47">
        <f t="shared" si="2"/>
        <v>13455.581744</v>
      </c>
      <c r="V36" s="47">
        <f t="shared" si="3"/>
        <v>74648.87798399999</v>
      </c>
      <c r="W36" s="51">
        <v>111</v>
      </c>
      <c r="X36" s="24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s="26" customFormat="1" ht="48" customHeight="1">
      <c r="A37" s="50">
        <f t="shared" si="8"/>
        <v>28</v>
      </c>
      <c r="B37" s="38" t="s">
        <v>107</v>
      </c>
      <c r="C37" s="40" t="s">
        <v>212</v>
      </c>
      <c r="D37" s="38" t="s">
        <v>108</v>
      </c>
      <c r="E37" s="40" t="s">
        <v>167</v>
      </c>
      <c r="F37" s="40" t="s">
        <v>172</v>
      </c>
      <c r="G37" s="45">
        <v>35000</v>
      </c>
      <c r="H37" s="45"/>
      <c r="I37" s="47">
        <v>25</v>
      </c>
      <c r="J37" s="47">
        <v>100</v>
      </c>
      <c r="K37" s="47">
        <f t="shared" si="25"/>
        <v>1004.5</v>
      </c>
      <c r="L37" s="47">
        <f t="shared" si="26"/>
        <v>2485</v>
      </c>
      <c r="M37" s="47">
        <f>+G37*1.1%</f>
        <v>385.00000000000006</v>
      </c>
      <c r="N37" s="47">
        <f t="shared" si="27"/>
        <v>1064</v>
      </c>
      <c r="O37" s="47">
        <f t="shared" si="28"/>
        <v>2481.5</v>
      </c>
      <c r="P37" s="47"/>
      <c r="Q37" s="47"/>
      <c r="R37" s="47"/>
      <c r="S37" s="47">
        <f t="shared" si="0"/>
        <v>7420</v>
      </c>
      <c r="T37" s="47">
        <f t="shared" si="1"/>
        <v>2068.5</v>
      </c>
      <c r="U37" s="47">
        <f t="shared" si="2"/>
        <v>5351.5</v>
      </c>
      <c r="V37" s="47">
        <f t="shared" si="3"/>
        <v>32806.5</v>
      </c>
      <c r="W37" s="51">
        <v>111</v>
      </c>
      <c r="X37" s="2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s="26" customFormat="1" ht="48" customHeight="1">
      <c r="A38" s="50">
        <f t="shared" si="8"/>
        <v>29</v>
      </c>
      <c r="B38" s="113" t="s">
        <v>243</v>
      </c>
      <c r="C38" s="40" t="s">
        <v>212</v>
      </c>
      <c r="D38" s="38" t="s">
        <v>244</v>
      </c>
      <c r="E38" s="40" t="s">
        <v>167</v>
      </c>
      <c r="F38" s="40" t="s">
        <v>172</v>
      </c>
      <c r="G38" s="45">
        <v>35000</v>
      </c>
      <c r="H38" s="45"/>
      <c r="I38" s="47">
        <v>25</v>
      </c>
      <c r="J38" s="47"/>
      <c r="K38" s="47">
        <f>+G38*2.87%</f>
        <v>1004.5</v>
      </c>
      <c r="L38" s="47">
        <f>+G38*7.1%</f>
        <v>2485</v>
      </c>
      <c r="M38" s="47">
        <f>+G38*1.1%</f>
        <v>385.00000000000006</v>
      </c>
      <c r="N38" s="47">
        <f>+G38*3.04%</f>
        <v>1064</v>
      </c>
      <c r="O38" s="47">
        <f>+G38*7.09%</f>
        <v>2481.5</v>
      </c>
      <c r="P38" s="47"/>
      <c r="Q38" s="47"/>
      <c r="R38" s="47"/>
      <c r="S38" s="47">
        <f>SUM(K38:R38)</f>
        <v>7420</v>
      </c>
      <c r="T38" s="47">
        <f>+K38+N38</f>
        <v>2068.5</v>
      </c>
      <c r="U38" s="47">
        <f>+L38+M38+O38</f>
        <v>5351.5</v>
      </c>
      <c r="V38" s="47">
        <f>+G38-T38-H38-I38-R38-J38</f>
        <v>32906.5</v>
      </c>
      <c r="W38" s="51">
        <v>111</v>
      </c>
      <c r="X38" s="24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s="26" customFormat="1" ht="48" customHeight="1">
      <c r="A39" s="50">
        <f>A38+1</f>
        <v>30</v>
      </c>
      <c r="B39" s="113" t="s">
        <v>245</v>
      </c>
      <c r="C39" s="40" t="s">
        <v>212</v>
      </c>
      <c r="D39" s="38" t="s">
        <v>108</v>
      </c>
      <c r="E39" s="40" t="s">
        <v>167</v>
      </c>
      <c r="F39" s="40" t="s">
        <v>172</v>
      </c>
      <c r="G39" s="45">
        <v>30000</v>
      </c>
      <c r="H39" s="45"/>
      <c r="I39" s="47">
        <v>25</v>
      </c>
      <c r="J39" s="47">
        <v>100</v>
      </c>
      <c r="K39" s="47">
        <f>+G39*2.87%</f>
        <v>861</v>
      </c>
      <c r="L39" s="47">
        <f>+G39*7.1%</f>
        <v>2130</v>
      </c>
      <c r="M39" s="47">
        <f>+G39*1.1%</f>
        <v>330.00000000000006</v>
      </c>
      <c r="N39" s="47">
        <f>+G39*3.04%</f>
        <v>912</v>
      </c>
      <c r="O39" s="47">
        <f>+G39*7.09%</f>
        <v>2127</v>
      </c>
      <c r="P39" s="47"/>
      <c r="Q39" s="47"/>
      <c r="R39" s="47"/>
      <c r="S39" s="47">
        <f>SUM(K39:R39)</f>
        <v>6360</v>
      </c>
      <c r="T39" s="47">
        <f>+K39+N39</f>
        <v>1773</v>
      </c>
      <c r="U39" s="47">
        <f>+L39+M39+O39</f>
        <v>4587</v>
      </c>
      <c r="V39" s="47">
        <f>+G39-T39-H39-I39-R39-J39</f>
        <v>28102</v>
      </c>
      <c r="W39" s="51">
        <v>111</v>
      </c>
      <c r="X39" s="24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s="26" customFormat="1" ht="48" customHeight="1" thickBot="1">
      <c r="A40" s="52">
        <f>A39+1</f>
        <v>31</v>
      </c>
      <c r="B40" s="53" t="s">
        <v>43</v>
      </c>
      <c r="C40" s="75" t="s">
        <v>212</v>
      </c>
      <c r="D40" s="53" t="s">
        <v>54</v>
      </c>
      <c r="E40" s="75" t="s">
        <v>0</v>
      </c>
      <c r="F40" s="75" t="s">
        <v>172</v>
      </c>
      <c r="G40" s="54">
        <v>80000</v>
      </c>
      <c r="H40" s="54">
        <v>7400.87</v>
      </c>
      <c r="I40" s="55">
        <v>25</v>
      </c>
      <c r="J40" s="55">
        <v>100</v>
      </c>
      <c r="K40" s="55">
        <f t="shared" si="25"/>
        <v>2296</v>
      </c>
      <c r="L40" s="55">
        <f t="shared" si="26"/>
        <v>5679.999999999999</v>
      </c>
      <c r="M40" s="55">
        <f>65050*1.1%</f>
        <v>715.5500000000001</v>
      </c>
      <c r="N40" s="55">
        <f t="shared" si="27"/>
        <v>2432</v>
      </c>
      <c r="O40" s="55">
        <f t="shared" si="28"/>
        <v>5672</v>
      </c>
      <c r="P40" s="55"/>
      <c r="Q40" s="55"/>
      <c r="R40" s="55">
        <v>0</v>
      </c>
      <c r="S40" s="55">
        <f t="shared" si="0"/>
        <v>16795.55</v>
      </c>
      <c r="T40" s="55">
        <f t="shared" si="1"/>
        <v>4728</v>
      </c>
      <c r="U40" s="55">
        <f t="shared" si="2"/>
        <v>12067.55</v>
      </c>
      <c r="V40" s="55">
        <f t="shared" si="3"/>
        <v>67746.13</v>
      </c>
      <c r="W40" s="56">
        <v>111</v>
      </c>
      <c r="X40" s="24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s="26" customFormat="1" ht="18" thickBot="1">
      <c r="A41" s="65"/>
      <c r="B41" s="156" t="s">
        <v>213</v>
      </c>
      <c r="C41" s="157"/>
      <c r="D41" s="157"/>
      <c r="E41" s="157"/>
      <c r="F41" s="158"/>
      <c r="G41" s="66">
        <f>SUM(G$9:$G40)</f>
        <v>1560393.18</v>
      </c>
      <c r="H41" s="66">
        <f>SUM(H$9:$H40)</f>
        <v>108361.79</v>
      </c>
      <c r="I41" s="66">
        <f>SUM(I9:I40)</f>
        <v>800</v>
      </c>
      <c r="J41" s="67">
        <f>SUM(J9:J40)</f>
        <v>2500</v>
      </c>
      <c r="K41" s="66">
        <f>SUM(K$9:$K40)</f>
        <v>44783.284266</v>
      </c>
      <c r="L41" s="66">
        <f>SUM(L$9:$L40)</f>
        <v>110787.91578</v>
      </c>
      <c r="M41" s="66">
        <f>SUM(M$9:$M40)</f>
        <v>13989.315669999998</v>
      </c>
      <c r="N41" s="66">
        <f>SUM(N$9:$N40)</f>
        <v>47435.95267200001</v>
      </c>
      <c r="O41" s="66">
        <f>SUM(O$9:$O40)</f>
        <v>110631.87646200001</v>
      </c>
      <c r="P41" s="66"/>
      <c r="Q41" s="66">
        <f>SUM(Q9:Q40)</f>
        <v>300</v>
      </c>
      <c r="R41" s="66">
        <f>SUM(R$9:$R40)</f>
        <v>6750.599999999999</v>
      </c>
      <c r="S41" s="66">
        <f>SUM(S$9:$S40)</f>
        <v>334678.94484999997</v>
      </c>
      <c r="T41" s="66">
        <f>SUM(T$9:$T40)</f>
        <v>92219.23693800002</v>
      </c>
      <c r="U41" s="66">
        <f>SUM(U9:U40)</f>
        <v>235409.107912</v>
      </c>
      <c r="V41" s="66">
        <f>SUM(V$9:$V40)</f>
        <v>1349761.5530619998</v>
      </c>
      <c r="W41" s="68">
        <v>111</v>
      </c>
      <c r="X41" s="24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s="26" customFormat="1" ht="32.25" customHeight="1" thickBot="1">
      <c r="A42" s="167" t="s">
        <v>246</v>
      </c>
      <c r="B42" s="168"/>
      <c r="C42" s="115">
        <f>'Act. 1 Nomina Fijos'!A95+'Act. 2 Nomina Fijos'!A40</f>
        <v>118</v>
      </c>
      <c r="D42" s="24"/>
      <c r="E42" s="24"/>
      <c r="F42" s="24"/>
      <c r="G42" s="16"/>
      <c r="H42" s="16"/>
      <c r="I42" s="16"/>
      <c r="J42" s="58"/>
      <c r="K42" s="16"/>
      <c r="L42" s="16"/>
      <c r="M42" s="16"/>
      <c r="N42" s="16"/>
      <c r="O42" s="16"/>
      <c r="P42" s="16"/>
      <c r="Q42" s="16"/>
      <c r="R42" s="16"/>
      <c r="S42" s="46"/>
      <c r="T42" s="46"/>
      <c r="U42" s="46"/>
      <c r="V42" s="46"/>
      <c r="W42" s="16"/>
      <c r="X42" s="24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s="106" customFormat="1" ht="21">
      <c r="A43" s="102"/>
      <c r="B43" s="152" t="s">
        <v>190</v>
      </c>
      <c r="C43" s="152"/>
      <c r="D43" s="153" t="s">
        <v>200</v>
      </c>
      <c r="E43" s="153"/>
      <c r="F43" s="103" t="s">
        <v>205</v>
      </c>
      <c r="G43" s="104"/>
      <c r="H43" s="104"/>
      <c r="I43" s="104"/>
      <c r="J43" s="169" t="s">
        <v>190</v>
      </c>
      <c r="K43" s="169"/>
      <c r="L43" s="169"/>
      <c r="M43" s="169"/>
      <c r="N43" s="169" t="s">
        <v>200</v>
      </c>
      <c r="O43" s="169"/>
      <c r="P43" s="169"/>
      <c r="Q43" s="169"/>
      <c r="R43" s="169" t="s">
        <v>205</v>
      </c>
      <c r="S43" s="169"/>
      <c r="T43" s="46"/>
      <c r="U43" s="46"/>
      <c r="V43" s="46"/>
      <c r="W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</row>
    <row r="44" spans="1:53" s="106" customFormat="1" ht="21">
      <c r="A44" s="102"/>
      <c r="B44" s="126" t="s">
        <v>191</v>
      </c>
      <c r="C44" s="126"/>
      <c r="D44" s="126" t="s">
        <v>202</v>
      </c>
      <c r="E44" s="126"/>
      <c r="F44" s="107">
        <f>K41</f>
        <v>44783.284266</v>
      </c>
      <c r="G44" s="104"/>
      <c r="H44" s="104"/>
      <c r="I44" s="104"/>
      <c r="J44" s="171" t="s">
        <v>191</v>
      </c>
      <c r="K44" s="171"/>
      <c r="L44" s="171"/>
      <c r="M44" s="171"/>
      <c r="N44" s="171" t="s">
        <v>202</v>
      </c>
      <c r="O44" s="171"/>
      <c r="P44" s="171"/>
      <c r="Q44" s="171"/>
      <c r="R44" s="173">
        <f>F44+'Act. 1 Nomina Fijos'!F99</f>
        <v>151570.01552699995</v>
      </c>
      <c r="S44" s="173"/>
      <c r="T44" s="46"/>
      <c r="U44" s="46"/>
      <c r="V44" s="46"/>
      <c r="W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</row>
    <row r="45" spans="1:53" s="106" customFormat="1" ht="21">
      <c r="A45" s="102"/>
      <c r="B45" s="126" t="s">
        <v>192</v>
      </c>
      <c r="C45" s="126"/>
      <c r="D45" s="126" t="s">
        <v>201</v>
      </c>
      <c r="E45" s="126"/>
      <c r="F45" s="107">
        <f>H41</f>
        <v>108361.79</v>
      </c>
      <c r="G45" s="104"/>
      <c r="H45" s="104"/>
      <c r="I45" s="104"/>
      <c r="J45" s="171" t="s">
        <v>192</v>
      </c>
      <c r="K45" s="171"/>
      <c r="L45" s="171"/>
      <c r="M45" s="171"/>
      <c r="N45" s="171" t="s">
        <v>201</v>
      </c>
      <c r="O45" s="171"/>
      <c r="P45" s="171"/>
      <c r="Q45" s="171"/>
      <c r="R45" s="173">
        <f>F45+'Act. 1 Nomina Fijos'!F100</f>
        <v>361184.43</v>
      </c>
      <c r="S45" s="173"/>
      <c r="T45" s="46"/>
      <c r="U45" s="46"/>
      <c r="V45" s="46"/>
      <c r="W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</row>
    <row r="46" spans="1:53" s="106" customFormat="1" ht="21">
      <c r="A46" s="102"/>
      <c r="B46" s="126" t="s">
        <v>193</v>
      </c>
      <c r="C46" s="126"/>
      <c r="D46" s="126" t="s">
        <v>203</v>
      </c>
      <c r="E46" s="126"/>
      <c r="F46" s="107">
        <f>I41</f>
        <v>800</v>
      </c>
      <c r="G46" s="104"/>
      <c r="H46" s="104"/>
      <c r="I46" s="104"/>
      <c r="J46" s="171" t="s">
        <v>193</v>
      </c>
      <c r="K46" s="171"/>
      <c r="L46" s="171"/>
      <c r="M46" s="171"/>
      <c r="N46" s="171" t="s">
        <v>203</v>
      </c>
      <c r="O46" s="171"/>
      <c r="P46" s="171"/>
      <c r="Q46" s="171"/>
      <c r="R46" s="173">
        <f>F46+'Act. 1 Nomina Fijos'!F101</f>
        <v>2975</v>
      </c>
      <c r="S46" s="173"/>
      <c r="T46" s="46"/>
      <c r="U46" s="46"/>
      <c r="V46" s="46"/>
      <c r="W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</row>
    <row r="47" spans="1:53" s="106" customFormat="1" ht="21">
      <c r="A47" s="102"/>
      <c r="B47" s="162" t="s">
        <v>235</v>
      </c>
      <c r="C47" s="163"/>
      <c r="D47" s="162" t="s">
        <v>234</v>
      </c>
      <c r="E47" s="163"/>
      <c r="F47" s="107">
        <f>Q41</f>
        <v>300</v>
      </c>
      <c r="G47" s="104"/>
      <c r="H47" s="104"/>
      <c r="I47" s="104"/>
      <c r="J47" s="171" t="s">
        <v>235</v>
      </c>
      <c r="K47" s="171"/>
      <c r="L47" s="171"/>
      <c r="M47" s="171"/>
      <c r="N47" s="171" t="s">
        <v>234</v>
      </c>
      <c r="O47" s="171"/>
      <c r="P47" s="171"/>
      <c r="Q47" s="171"/>
      <c r="R47" s="173">
        <f>F47+'Act. 1 Nomina Fijos'!F102</f>
        <v>11764.2</v>
      </c>
      <c r="S47" s="173"/>
      <c r="T47" s="46"/>
      <c r="U47" s="46"/>
      <c r="V47" s="46"/>
      <c r="W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</row>
    <row r="48" spans="1:53" s="106" customFormat="1" ht="21">
      <c r="A48" s="102"/>
      <c r="B48" s="151" t="s">
        <v>206</v>
      </c>
      <c r="C48" s="151"/>
      <c r="D48" s="151" t="s">
        <v>207</v>
      </c>
      <c r="E48" s="151"/>
      <c r="F48" s="107">
        <f>P41</f>
        <v>0</v>
      </c>
      <c r="G48" s="104"/>
      <c r="H48" s="104"/>
      <c r="I48" s="104"/>
      <c r="J48" s="171" t="s">
        <v>206</v>
      </c>
      <c r="K48" s="171"/>
      <c r="L48" s="171"/>
      <c r="M48" s="171"/>
      <c r="N48" s="171" t="s">
        <v>207</v>
      </c>
      <c r="O48" s="171"/>
      <c r="P48" s="171"/>
      <c r="Q48" s="171"/>
      <c r="R48" s="173">
        <f>F48+'Act. 1 Nomina Fijos'!F103</f>
        <v>1800</v>
      </c>
      <c r="S48" s="173"/>
      <c r="T48" s="46"/>
      <c r="U48" s="46"/>
      <c r="V48" s="46"/>
      <c r="W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</row>
    <row r="49" spans="1:53" s="106" customFormat="1" ht="21">
      <c r="A49" s="102"/>
      <c r="B49" s="126" t="s">
        <v>194</v>
      </c>
      <c r="C49" s="126"/>
      <c r="D49" s="126" t="s">
        <v>202</v>
      </c>
      <c r="E49" s="126"/>
      <c r="F49" s="107">
        <f>N41</f>
        <v>47435.95267200001</v>
      </c>
      <c r="G49" s="104"/>
      <c r="H49" s="104"/>
      <c r="I49" s="104"/>
      <c r="J49" s="171" t="s">
        <v>194</v>
      </c>
      <c r="K49" s="171"/>
      <c r="L49" s="171"/>
      <c r="M49" s="171"/>
      <c r="N49" s="171" t="s">
        <v>202</v>
      </c>
      <c r="O49" s="171"/>
      <c r="P49" s="171"/>
      <c r="Q49" s="171"/>
      <c r="R49" s="173">
        <f>F49+'Act. 1 Nomina Fijos'!F104</f>
        <v>158355.43038400006</v>
      </c>
      <c r="S49" s="173"/>
      <c r="T49" s="46"/>
      <c r="U49" s="46"/>
      <c r="V49" s="46"/>
      <c r="W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</row>
    <row r="50" spans="1:53" s="106" customFormat="1" ht="21">
      <c r="A50" s="102"/>
      <c r="B50" s="126" t="s">
        <v>195</v>
      </c>
      <c r="C50" s="126"/>
      <c r="D50" s="126" t="s">
        <v>202</v>
      </c>
      <c r="E50" s="126"/>
      <c r="F50" s="107">
        <f>R41</f>
        <v>6750.599999999999</v>
      </c>
      <c r="G50" s="104"/>
      <c r="H50" s="104"/>
      <c r="I50" s="104"/>
      <c r="J50" s="171" t="s">
        <v>195</v>
      </c>
      <c r="K50" s="171"/>
      <c r="L50" s="171"/>
      <c r="M50" s="171"/>
      <c r="N50" s="171" t="s">
        <v>202</v>
      </c>
      <c r="O50" s="171"/>
      <c r="P50" s="171"/>
      <c r="Q50" s="171"/>
      <c r="R50" s="173">
        <f>F50+'Act. 1 Nomina Fijos'!F105</f>
        <v>28352.519999999993</v>
      </c>
      <c r="S50" s="173"/>
      <c r="T50" s="46"/>
      <c r="U50" s="46"/>
      <c r="V50" s="46"/>
      <c r="W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</row>
    <row r="51" spans="1:53" s="106" customFormat="1" ht="21">
      <c r="A51" s="102"/>
      <c r="B51" s="126" t="s">
        <v>196</v>
      </c>
      <c r="C51" s="126"/>
      <c r="D51" s="126" t="s">
        <v>204</v>
      </c>
      <c r="E51" s="126"/>
      <c r="F51" s="107">
        <f>J41</f>
        <v>2500</v>
      </c>
      <c r="G51" s="104"/>
      <c r="H51" s="104"/>
      <c r="I51" s="104"/>
      <c r="J51" s="171" t="s">
        <v>196</v>
      </c>
      <c r="K51" s="171"/>
      <c r="L51" s="171"/>
      <c r="M51" s="171"/>
      <c r="N51" s="171" t="s">
        <v>240</v>
      </c>
      <c r="O51" s="171"/>
      <c r="P51" s="171"/>
      <c r="Q51" s="171"/>
      <c r="R51" s="173">
        <f>F51+'Act. 1 Nomina Fijos'!F106</f>
        <v>10100</v>
      </c>
      <c r="S51" s="173"/>
      <c r="T51" s="46"/>
      <c r="U51" s="46"/>
      <c r="V51" s="46"/>
      <c r="W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</row>
    <row r="52" spans="1:53" s="106" customFormat="1" ht="21">
      <c r="A52" s="102"/>
      <c r="B52" s="151" t="s">
        <v>197</v>
      </c>
      <c r="C52" s="151"/>
      <c r="D52" s="126"/>
      <c r="E52" s="126"/>
      <c r="F52" s="107">
        <f>L41</f>
        <v>110787.91578</v>
      </c>
      <c r="G52" s="104"/>
      <c r="H52" s="104"/>
      <c r="I52" s="104"/>
      <c r="J52" s="171" t="s">
        <v>197</v>
      </c>
      <c r="K52" s="171"/>
      <c r="L52" s="171"/>
      <c r="M52" s="171"/>
      <c r="N52" s="171"/>
      <c r="O52" s="171"/>
      <c r="P52" s="171"/>
      <c r="Q52" s="171"/>
      <c r="R52" s="173">
        <f>F52+'Act. 1 Nomina Fijos'!F107</f>
        <v>374964.14991</v>
      </c>
      <c r="S52" s="173"/>
      <c r="T52" s="46"/>
      <c r="U52" s="46"/>
      <c r="V52" s="46"/>
      <c r="W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</row>
    <row r="53" spans="1:53" s="106" customFormat="1" ht="21">
      <c r="A53" s="102"/>
      <c r="B53" s="151" t="s">
        <v>198</v>
      </c>
      <c r="C53" s="151"/>
      <c r="D53" s="126"/>
      <c r="E53" s="126"/>
      <c r="F53" s="107">
        <f>M41</f>
        <v>13989.315669999998</v>
      </c>
      <c r="G53" s="104"/>
      <c r="H53" s="104"/>
      <c r="I53" s="104"/>
      <c r="J53" s="171" t="s">
        <v>198</v>
      </c>
      <c r="K53" s="171"/>
      <c r="L53" s="171"/>
      <c r="M53" s="171"/>
      <c r="N53" s="171"/>
      <c r="O53" s="171"/>
      <c r="P53" s="171"/>
      <c r="Q53" s="171"/>
      <c r="R53" s="173">
        <f>F53+'Act. 1 Nomina Fijos'!F108</f>
        <v>46349.11358</v>
      </c>
      <c r="S53" s="173"/>
      <c r="T53" s="46"/>
      <c r="U53" s="46"/>
      <c r="V53" s="46"/>
      <c r="W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</row>
    <row r="54" spans="1:53" s="106" customFormat="1" ht="20.25">
      <c r="A54" s="102"/>
      <c r="B54" s="151" t="s">
        <v>199</v>
      </c>
      <c r="C54" s="151"/>
      <c r="D54" s="126"/>
      <c r="E54" s="126"/>
      <c r="F54" s="108">
        <f>O41</f>
        <v>110631.87646200001</v>
      </c>
      <c r="G54" s="104"/>
      <c r="H54" s="104"/>
      <c r="I54" s="104"/>
      <c r="J54" s="171" t="s">
        <v>199</v>
      </c>
      <c r="K54" s="171"/>
      <c r="L54" s="171"/>
      <c r="M54" s="171"/>
      <c r="N54" s="171"/>
      <c r="O54" s="171"/>
      <c r="P54" s="171"/>
      <c r="Q54" s="171"/>
      <c r="R54" s="165">
        <f>F54+'Act. 1 Nomina Fijos'!F109</f>
        <v>369322.36888900003</v>
      </c>
      <c r="S54" s="165"/>
      <c r="T54" s="46"/>
      <c r="U54" s="46"/>
      <c r="V54" s="46"/>
      <c r="W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</row>
    <row r="55" spans="1:53" s="106" customFormat="1" ht="21">
      <c r="A55" s="102"/>
      <c r="B55" s="150" t="s">
        <v>213</v>
      </c>
      <c r="C55" s="150"/>
      <c r="D55" s="150"/>
      <c r="E55" s="150"/>
      <c r="F55" s="101">
        <f>G41-F44-F45-F46-F47-F48-F49-F50-F51</f>
        <v>1349461.5530619998</v>
      </c>
      <c r="G55" s="104"/>
      <c r="H55" s="104"/>
      <c r="I55" s="104"/>
      <c r="J55" s="172" t="s">
        <v>217</v>
      </c>
      <c r="K55" s="172"/>
      <c r="L55" s="172"/>
      <c r="M55" s="172"/>
      <c r="N55" s="172"/>
      <c r="O55" s="172"/>
      <c r="P55" s="172"/>
      <c r="Q55" s="172"/>
      <c r="R55" s="166">
        <f>G41+'Act. 1 Nomina Fijos'!G96-R44-R45-R46-R47-R48-R49-R50-R51</f>
        <v>4555083.614089001</v>
      </c>
      <c r="S55" s="166"/>
      <c r="T55" s="46"/>
      <c r="U55" s="46"/>
      <c r="V55" s="46"/>
      <c r="W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</row>
    <row r="56" spans="1:53" s="26" customFormat="1" ht="32.25" customHeight="1">
      <c r="A56" s="23"/>
      <c r="B56" s="24"/>
      <c r="C56" s="24"/>
      <c r="D56" s="24"/>
      <c r="E56" s="24"/>
      <c r="F56" s="24"/>
      <c r="G56" s="16"/>
      <c r="H56" s="16"/>
      <c r="I56" s="16"/>
      <c r="J56" s="48"/>
      <c r="K56" s="48"/>
      <c r="L56" s="48"/>
      <c r="M56" s="48"/>
      <c r="N56" s="48"/>
      <c r="O56" s="16"/>
      <c r="P56" s="16"/>
      <c r="Q56" s="16"/>
      <c r="R56" s="16"/>
      <c r="S56" s="46"/>
      <c r="T56" s="46"/>
      <c r="U56" s="46"/>
      <c r="V56" s="46"/>
      <c r="W56" s="16"/>
      <c r="X56" s="24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26" ht="23.25" customHeight="1">
      <c r="A57" s="84" t="s">
        <v>214</v>
      </c>
      <c r="B57" s="34"/>
      <c r="C57" s="85"/>
      <c r="D57" s="85"/>
      <c r="E57" s="85"/>
      <c r="F57" s="85"/>
      <c r="G57" s="85"/>
      <c r="H57" s="85"/>
      <c r="I57" s="35"/>
      <c r="J57" s="174" t="s">
        <v>241</v>
      </c>
      <c r="K57" s="174"/>
      <c r="L57" s="174"/>
      <c r="M57" s="174"/>
      <c r="N57" s="174"/>
      <c r="O57" s="174"/>
      <c r="P57" s="174"/>
      <c r="Q57" s="174"/>
      <c r="R57" s="174"/>
      <c r="S57" s="174"/>
      <c r="T57" s="87"/>
      <c r="U57" s="87"/>
      <c r="V57" s="87"/>
      <c r="W57" s="87"/>
      <c r="X57" s="86"/>
      <c r="Y57" s="62"/>
      <c r="Z57" s="62"/>
    </row>
    <row r="58" spans="1:26" ht="20.25">
      <c r="A58" s="83" t="s">
        <v>215</v>
      </c>
      <c r="B58" s="88"/>
      <c r="C58" s="83"/>
      <c r="D58" s="83"/>
      <c r="E58" s="83"/>
      <c r="F58" s="83"/>
      <c r="G58" s="83"/>
      <c r="H58" s="83"/>
      <c r="I58" s="89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90"/>
      <c r="U58" s="90"/>
      <c r="V58" s="90"/>
      <c r="W58" s="89"/>
      <c r="X58" s="89"/>
      <c r="Y58" s="62"/>
      <c r="Z58" s="62"/>
    </row>
    <row r="59" spans="1:26" ht="20.25">
      <c r="A59" s="83" t="s">
        <v>237</v>
      </c>
      <c r="B59" s="88"/>
      <c r="C59" s="83"/>
      <c r="D59" s="83"/>
      <c r="E59" s="83"/>
      <c r="F59" s="83"/>
      <c r="G59" s="83"/>
      <c r="H59" s="91"/>
      <c r="I59" s="92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89"/>
      <c r="U59" s="89"/>
      <c r="V59" s="89"/>
      <c r="W59" s="89"/>
      <c r="X59" s="89"/>
      <c r="Y59" s="62"/>
      <c r="Z59" s="62"/>
    </row>
    <row r="60" spans="1:26" ht="20.25">
      <c r="A60" s="83" t="s">
        <v>238</v>
      </c>
      <c r="B60" s="88"/>
      <c r="C60" s="83"/>
      <c r="D60" s="83"/>
      <c r="E60" s="83"/>
      <c r="F60" s="83"/>
      <c r="G60" s="83"/>
      <c r="H60" s="91"/>
      <c r="I60" s="92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89"/>
      <c r="U60" s="89"/>
      <c r="V60" s="94"/>
      <c r="W60" s="94"/>
      <c r="X60" s="94"/>
      <c r="Y60" s="62"/>
      <c r="Z60" s="62"/>
    </row>
    <row r="61" spans="1:26" ht="20.25">
      <c r="A61" s="83" t="s">
        <v>239</v>
      </c>
      <c r="B61" s="88"/>
      <c r="C61" s="83"/>
      <c r="D61" s="83"/>
      <c r="E61" s="83"/>
      <c r="F61" s="83"/>
      <c r="G61" s="83"/>
      <c r="H61" s="91"/>
      <c r="I61" s="92"/>
      <c r="J61" s="95"/>
      <c r="K61" s="95"/>
      <c r="L61" s="95"/>
      <c r="M61" s="89"/>
      <c r="N61" s="89"/>
      <c r="O61" s="89"/>
      <c r="P61" s="89"/>
      <c r="Q61" s="89"/>
      <c r="R61" s="93"/>
      <c r="S61" s="89"/>
      <c r="T61" s="89"/>
      <c r="U61" s="89"/>
      <c r="V61" s="94"/>
      <c r="W61" s="94"/>
      <c r="X61" s="94"/>
      <c r="Y61" s="62"/>
      <c r="Z61" s="62"/>
    </row>
    <row r="62" spans="1:26" ht="20.25">
      <c r="A62" s="82" t="s">
        <v>216</v>
      </c>
      <c r="B62" s="96"/>
      <c r="C62" s="82"/>
      <c r="D62" s="82"/>
      <c r="E62" s="97"/>
      <c r="F62" s="97"/>
      <c r="G62" s="83"/>
      <c r="H62" s="91"/>
      <c r="I62" s="92"/>
      <c r="J62" s="95"/>
      <c r="K62" s="95"/>
      <c r="L62" s="95"/>
      <c r="M62" s="89"/>
      <c r="N62" s="89"/>
      <c r="O62" s="89"/>
      <c r="P62" s="89"/>
      <c r="Q62" s="89"/>
      <c r="R62" s="93"/>
      <c r="S62" s="89"/>
      <c r="T62" s="89"/>
      <c r="U62" s="89"/>
      <c r="V62" s="94"/>
      <c r="W62" s="94"/>
      <c r="X62" s="94"/>
      <c r="Y62" s="62"/>
      <c r="Z62" s="62"/>
    </row>
    <row r="63" spans="9:26" s="100" customFormat="1" ht="42.75" customHeight="1">
      <c r="I63" s="98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95"/>
      <c r="Y63" s="99"/>
      <c r="Z63" s="99"/>
    </row>
    <row r="64" spans="1:53" s="5" customFormat="1" ht="20.25" customHeight="1">
      <c r="A64" s="3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48"/>
      <c r="R64" s="48"/>
      <c r="S64" s="48"/>
      <c r="T64" s="9"/>
      <c r="U64" s="7"/>
      <c r="V64" s="7"/>
      <c r="W64" s="7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:53" s="5" customFormat="1" ht="20.25" customHeight="1">
      <c r="A65" s="3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48"/>
      <c r="R65" s="48"/>
      <c r="S65" s="48"/>
      <c r="T65" s="9"/>
      <c r="U65" s="7"/>
      <c r="V65" s="7"/>
      <c r="W65" s="7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53" s="1" customFormat="1" ht="25.5" customHeight="1">
      <c r="A66" s="1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U66" s="7"/>
      <c r="V66" s="7"/>
      <c r="W66" s="7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1:53" s="1" customFormat="1" ht="44.25" customHeight="1">
      <c r="A67" s="1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U67" s="7"/>
      <c r="V67" s="7"/>
      <c r="W67" s="7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</row>
    <row r="68" spans="1:53" s="1" customFormat="1" ht="21" customHeight="1">
      <c r="A68" s="1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U68" s="7"/>
      <c r="V68" s="7"/>
      <c r="W68" s="7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1:53" s="1" customFormat="1" ht="36" customHeight="1">
      <c r="A69" s="1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7"/>
      <c r="R69" s="29"/>
      <c r="S69" s="7"/>
      <c r="T69" s="9"/>
      <c r="U69" s="7"/>
      <c r="V69" s="7"/>
      <c r="W69" s="7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2:16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2:16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ht="12.75" hidden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ht="12.75" hidden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2.75" hidden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2.75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53" ht="12.75" hidden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"/>
      <c r="R78" s="2"/>
      <c r="T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2.75" hidden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"/>
      <c r="R79" s="2"/>
      <c r="T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 hidden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"/>
      <c r="R80" s="2"/>
      <c r="T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"/>
      <c r="R81" s="2"/>
      <c r="T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"/>
      <c r="R82" s="2"/>
      <c r="T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T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T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T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T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T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T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T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T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T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16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</sheetData>
  <sheetProtection/>
  <mergeCells count="96">
    <mergeCell ref="J57:S60"/>
    <mergeCell ref="R48:S48"/>
    <mergeCell ref="R49:S49"/>
    <mergeCell ref="R50:S50"/>
    <mergeCell ref="R51:S51"/>
    <mergeCell ref="R52:S52"/>
    <mergeCell ref="R53:S53"/>
    <mergeCell ref="N51:Q51"/>
    <mergeCell ref="N52:Q52"/>
    <mergeCell ref="N53:Q53"/>
    <mergeCell ref="N54:Q54"/>
    <mergeCell ref="J55:Q55"/>
    <mergeCell ref="R43:S43"/>
    <mergeCell ref="R44:S44"/>
    <mergeCell ref="R45:S45"/>
    <mergeCell ref="R46:S46"/>
    <mergeCell ref="R47:S47"/>
    <mergeCell ref="N43:Q43"/>
    <mergeCell ref="N44:Q44"/>
    <mergeCell ref="N45:Q45"/>
    <mergeCell ref="N46:Q46"/>
    <mergeCell ref="N47:Q47"/>
    <mergeCell ref="N48:Q48"/>
    <mergeCell ref="J44:M44"/>
    <mergeCell ref="J45:M45"/>
    <mergeCell ref="J46:M46"/>
    <mergeCell ref="J47:M47"/>
    <mergeCell ref="J48:M48"/>
    <mergeCell ref="J49:M49"/>
    <mergeCell ref="J52:M52"/>
    <mergeCell ref="J53:M53"/>
    <mergeCell ref="J54:M54"/>
    <mergeCell ref="J50:M50"/>
    <mergeCell ref="J51:M51"/>
    <mergeCell ref="N49:Q49"/>
    <mergeCell ref="N50:Q50"/>
    <mergeCell ref="B47:C47"/>
    <mergeCell ref="D47:E47"/>
    <mergeCell ref="A4:W4"/>
    <mergeCell ref="A2:W2"/>
    <mergeCell ref="A5:W5"/>
    <mergeCell ref="A6:A8"/>
    <mergeCell ref="B6:B8"/>
    <mergeCell ref="C6:C8"/>
    <mergeCell ref="J43:M43"/>
    <mergeCell ref="V6:V8"/>
    <mergeCell ref="W6:W8"/>
    <mergeCell ref="K7:L7"/>
    <mergeCell ref="M7:M8"/>
    <mergeCell ref="N7:O7"/>
    <mergeCell ref="P7:P8"/>
    <mergeCell ref="R7:R8"/>
    <mergeCell ref="S7:S8"/>
    <mergeCell ref="T7:T8"/>
    <mergeCell ref="J6:J8"/>
    <mergeCell ref="K6:S6"/>
    <mergeCell ref="T6:U6"/>
    <mergeCell ref="H6:H8"/>
    <mergeCell ref="I6:I8"/>
    <mergeCell ref="Q7:Q8"/>
    <mergeCell ref="U7:U8"/>
    <mergeCell ref="B44:C44"/>
    <mergeCell ref="D44:E44"/>
    <mergeCell ref="D6:D8"/>
    <mergeCell ref="E6:E8"/>
    <mergeCell ref="F6:F8"/>
    <mergeCell ref="G6:G8"/>
    <mergeCell ref="B41:F41"/>
    <mergeCell ref="B43:C43"/>
    <mergeCell ref="D43:E43"/>
    <mergeCell ref="A42:B42"/>
    <mergeCell ref="B45:C45"/>
    <mergeCell ref="D45:E45"/>
    <mergeCell ref="B46:C46"/>
    <mergeCell ref="D46:E46"/>
    <mergeCell ref="B48:C48"/>
    <mergeCell ref="D48:E48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A3:W3"/>
    <mergeCell ref="B55:E55"/>
    <mergeCell ref="J63:N63"/>
    <mergeCell ref="O63:S63"/>
    <mergeCell ref="T63:W63"/>
    <mergeCell ref="R54:S54"/>
    <mergeCell ref="R55:S55"/>
    <mergeCell ref="B52:C52"/>
    <mergeCell ref="D52:E52"/>
    <mergeCell ref="B53:C5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6" r:id="rId2"/>
  <headerFooter alignWithMargins="0">
    <oddFooter>&amp;C&amp;"Arial,Negrita"Pag. &amp;P - 4</oddFooter>
  </headerFooter>
  <rowBreaks count="1" manualBreakCount="1">
    <brk id="7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2022-06-06T19:50:30Z</cp:lastPrinted>
  <dcterms:created xsi:type="dcterms:W3CDTF">2006-07-11T17:39:34Z</dcterms:created>
  <dcterms:modified xsi:type="dcterms:W3CDTF">2022-06-07T11:57:52Z</dcterms:modified>
  <cp:category/>
  <cp:version/>
  <cp:contentType/>
  <cp:contentStatus/>
</cp:coreProperties>
</file>