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shernandez\Downloads\NORMA DE CIERRE 2025\"/>
    </mc:Choice>
  </mc:AlternateContent>
  <xr:revisionPtr revIDLastSave="0" documentId="13_ncr:1_{311E47B8-A8B9-4EC9-8D9B-C534C4B3EC05}" xr6:coauthVersionLast="47" xr6:coauthVersionMax="47" xr10:uidLastSave="{00000000-0000-0000-0000-000000000000}"/>
  <bookViews>
    <workbookView xWindow="-120" yWindow="-120" windowWidth="20730" windowHeight="11040" firstSheet="1" activeTab="3" xr2:uid="{00000000-000D-0000-FFFF-FFFF00000000}"/>
  </bookViews>
  <sheets>
    <sheet name="FONDO MUNDIAL" sheetId="42" r:id="rId1"/>
    <sheet name="PROYECTO - CDC" sheetId="41" r:id="rId2"/>
    <sheet name="SUBVENCION" sheetId="39" r:id="rId3"/>
    <sheet name="DONACION" sheetId="40" r:id="rId4"/>
    <sheet name="CONTRAPARTIDA" sheetId="38" r:id="rId5"/>
    <sheet name="COVID" sheetId="46" r:id="rId6"/>
    <sheet name="Hoja2" sheetId="45" state="hidden" r:id="rId7"/>
  </sheets>
  <definedNames>
    <definedName name="_xlnm._FilterDatabase" localSheetId="4" hidden="1">CONTRAPARTIDA!$A$7:$S$900</definedName>
    <definedName name="_xlnm._FilterDatabase" localSheetId="5" hidden="1">COVID!$B$7:$Q$366</definedName>
    <definedName name="_xlnm._FilterDatabase" localSheetId="3" hidden="1">DONACION!$B$6:$R$38</definedName>
    <definedName name="_xlnm._FilterDatabase" localSheetId="0" hidden="1">'FONDO MUNDIAL'!$A$7:$S$2095</definedName>
    <definedName name="_xlnm._FilterDatabase" localSheetId="1" hidden="1">'PROYECTO - CDC'!$B$6:$Q$116</definedName>
    <definedName name="_xlnm._FilterDatabase" localSheetId="2" hidden="1">SUBVENCION!$B$6:$R$39</definedName>
    <definedName name="_xlnm.Print_Area" localSheetId="4">CONTRAPARTIDA!$B$1:$Q$924</definedName>
    <definedName name="_xlnm.Print_Area" localSheetId="5">COVID!$B$2:$P$378</definedName>
    <definedName name="_xlnm.Print_Area" localSheetId="3">DONACION!$A$1:$R$77</definedName>
    <definedName name="_xlnm.Print_Area" localSheetId="0">'FONDO MUNDIAL'!$B$1:$R$2141</definedName>
    <definedName name="_xlnm.Print_Area" localSheetId="1">'PROYECTO - CDC'!$A$1:$P$156</definedName>
    <definedName name="_xlnm.Print_Area" localSheetId="2">SUBVENCION!$B$1:$R$62</definedName>
    <definedName name="Print_Area" localSheetId="4">CONTRAPARTIDA!$B$3:$R$932</definedName>
    <definedName name="Print_Area" localSheetId="3">DONACION!$B$2:$R$77</definedName>
    <definedName name="Print_Area" localSheetId="0">'FONDO MUNDIAL'!$A$1:$S$2152</definedName>
    <definedName name="Print_Area" localSheetId="1">'PROYECTO - CDC'!$B$2:$Q$156</definedName>
    <definedName name="Print_Area" localSheetId="2">SUBVENCION!$B$2:$R$69</definedName>
    <definedName name="Print_Titles" localSheetId="4">CONTRAPARTIDA!$3:$7</definedName>
    <definedName name="Print_Titles" localSheetId="3">DONACION!$2:$6</definedName>
    <definedName name="Print_Titles" localSheetId="0">'FONDO MUNDIAL'!$2:$7</definedName>
    <definedName name="Print_Titles" localSheetId="1">'PROYECTO - CDC'!$2:$6</definedName>
    <definedName name="Print_Titles" localSheetId="2">SUBVENCION!$2:$6</definedName>
    <definedName name="Print_Titles">#REF!</definedName>
  </definedNames>
  <calcPr calcId="191029"/>
  <customWorkbookViews>
    <customWorkbookView name="jdelossantos - Vista personalizada" guid="{526C869E-0316-4E31-935D-E194C6985E02}" personalView="1" maximized="1" windowWidth="1020" windowHeight="565" activeSheetId="0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0" i="38" l="1"/>
  <c r="H2129" i="42"/>
  <c r="H2130" i="42"/>
  <c r="K2096" i="42"/>
  <c r="P2090" i="42"/>
  <c r="P2091" i="42"/>
  <c r="P2092" i="42"/>
  <c r="P2093" i="42"/>
  <c r="P2094" i="42"/>
  <c r="O2090" i="42"/>
  <c r="O2091" i="42"/>
  <c r="O2092" i="42"/>
  <c r="O2093" i="42"/>
  <c r="O2094" i="42"/>
  <c r="M2091" i="42"/>
  <c r="M2092" i="42"/>
  <c r="M2093" i="42"/>
  <c r="M2094" i="42"/>
  <c r="M2090" i="42"/>
  <c r="M2084" i="42"/>
  <c r="M2085" i="42"/>
  <c r="M2086" i="42"/>
  <c r="M2087" i="42"/>
  <c r="M2088" i="42"/>
  <c r="M2089" i="42"/>
  <c r="M2083" i="42"/>
  <c r="O2083" i="42"/>
  <c r="O2084" i="42"/>
  <c r="O2085" i="42"/>
  <c r="O2086" i="42"/>
  <c r="O2087" i="42"/>
  <c r="O2088" i="42"/>
  <c r="O2089" i="42"/>
  <c r="P2084" i="42"/>
  <c r="P2085" i="42"/>
  <c r="P2086" i="42"/>
  <c r="P2087" i="42"/>
  <c r="P2088" i="42"/>
  <c r="P2089" i="42"/>
  <c r="P2083" i="42"/>
  <c r="Q2087" i="42" l="1"/>
  <c r="R2087" i="42" s="1"/>
  <c r="Q2088" i="42"/>
  <c r="R2088" i="42" s="1"/>
  <c r="Q2089" i="42"/>
  <c r="R2089" i="42" s="1"/>
  <c r="Q2094" i="42"/>
  <c r="R2094" i="42" s="1"/>
  <c r="Q2090" i="42"/>
  <c r="R2090" i="42" s="1"/>
  <c r="Q2093" i="42"/>
  <c r="R2093" i="42" s="1"/>
  <c r="Q2092" i="42"/>
  <c r="R2092" i="42" s="1"/>
  <c r="Q2091" i="42"/>
  <c r="R2091" i="42" s="1"/>
  <c r="Q2086" i="42"/>
  <c r="R2086" i="42" s="1"/>
  <c r="Q2085" i="42"/>
  <c r="R2085" i="42" s="1"/>
  <c r="Q2084" i="42"/>
  <c r="R2084" i="42" s="1"/>
  <c r="Q2083" i="42"/>
  <c r="R2083" i="42" s="1"/>
  <c r="O903" i="38"/>
  <c r="N902" i="38"/>
  <c r="N903" i="38"/>
  <c r="L902" i="38"/>
  <c r="L903" i="38"/>
  <c r="O902" i="38"/>
  <c r="P902" i="38" s="1"/>
  <c r="Q902" i="38" s="1"/>
  <c r="P903" i="38" l="1"/>
  <c r="Q903" i="38" s="1"/>
  <c r="N901" i="38"/>
  <c r="L901" i="38"/>
  <c r="O901" i="38"/>
  <c r="M2080" i="42"/>
  <c r="O2080" i="42"/>
  <c r="P2080" i="42"/>
  <c r="M1853" i="42"/>
  <c r="M1854" i="42"/>
  <c r="M1855" i="42"/>
  <c r="M1856" i="42"/>
  <c r="O1853" i="42"/>
  <c r="O1854" i="42"/>
  <c r="O1855" i="42"/>
  <c r="O1856" i="42"/>
  <c r="P1854" i="42"/>
  <c r="P1855" i="42"/>
  <c r="P1856" i="42"/>
  <c r="P1853" i="42"/>
  <c r="Q1853" i="42" l="1"/>
  <c r="R1853" i="42" s="1"/>
  <c r="P901" i="38"/>
  <c r="Q901" i="38" s="1"/>
  <c r="Q1856" i="42"/>
  <c r="R1856" i="42" s="1"/>
  <c r="Q1855" i="42"/>
  <c r="R1855" i="42" s="1"/>
  <c r="Q1854" i="42"/>
  <c r="R1854" i="42" s="1"/>
  <c r="Q2080" i="42"/>
  <c r="Q2095" i="42"/>
  <c r="P2082" i="42"/>
  <c r="O2082" i="42"/>
  <c r="M2082" i="42"/>
  <c r="P2081" i="42"/>
  <c r="O2081" i="42"/>
  <c r="M2081" i="42"/>
  <c r="O885" i="38"/>
  <c r="O886" i="38"/>
  <c r="O887" i="38"/>
  <c r="O888" i="38"/>
  <c r="O889" i="38"/>
  <c r="O890" i="38"/>
  <c r="O891" i="38"/>
  <c r="O892" i="38"/>
  <c r="O893" i="38"/>
  <c r="O894" i="38"/>
  <c r="O895" i="38"/>
  <c r="O896" i="38"/>
  <c r="O897" i="38"/>
  <c r="O898" i="38"/>
  <c r="O899" i="38"/>
  <c r="O900" i="38"/>
  <c r="N884" i="38"/>
  <c r="N885" i="38"/>
  <c r="N886" i="38"/>
  <c r="N887" i="38"/>
  <c r="N888" i="38"/>
  <c r="N889" i="38"/>
  <c r="N890" i="38"/>
  <c r="N891" i="38"/>
  <c r="N892" i="38"/>
  <c r="N893" i="38"/>
  <c r="N894" i="38"/>
  <c r="N895" i="38"/>
  <c r="N896" i="38"/>
  <c r="N897" i="38"/>
  <c r="N898" i="38"/>
  <c r="N899" i="38"/>
  <c r="N900" i="38"/>
  <c r="L885" i="38"/>
  <c r="L886" i="38"/>
  <c r="L887" i="38"/>
  <c r="L888" i="38"/>
  <c r="L889" i="38"/>
  <c r="L890" i="38"/>
  <c r="L891" i="38"/>
  <c r="L892" i="38"/>
  <c r="L893" i="38"/>
  <c r="L894" i="38"/>
  <c r="L895" i="38"/>
  <c r="L896" i="38"/>
  <c r="L897" i="38"/>
  <c r="L898" i="38"/>
  <c r="L899" i="38"/>
  <c r="L900" i="38"/>
  <c r="L884" i="38"/>
  <c r="O884" i="38"/>
  <c r="O883" i="38"/>
  <c r="N883" i="38"/>
  <c r="L883" i="38"/>
  <c r="N882" i="38"/>
  <c r="L882" i="38"/>
  <c r="O882" i="38"/>
  <c r="N881" i="38"/>
  <c r="L881" i="38"/>
  <c r="O881" i="38"/>
  <c r="H376" i="46"/>
  <c r="H375" i="46"/>
  <c r="H374" i="46"/>
  <c r="J369" i="46"/>
  <c r="O366" i="46"/>
  <c r="N366" i="46"/>
  <c r="L366" i="46"/>
  <c r="O365" i="46"/>
  <c r="N365" i="46"/>
  <c r="L365" i="46"/>
  <c r="O364" i="46"/>
  <c r="N364" i="46"/>
  <c r="L364" i="46"/>
  <c r="O363" i="46"/>
  <c r="N363" i="46"/>
  <c r="L363" i="46"/>
  <c r="O362" i="46"/>
  <c r="N362" i="46"/>
  <c r="L362" i="46"/>
  <c r="O361" i="46"/>
  <c r="N361" i="46"/>
  <c r="L361" i="46"/>
  <c r="O360" i="46"/>
  <c r="N360" i="46"/>
  <c r="L360" i="46"/>
  <c r="O359" i="46"/>
  <c r="N359" i="46"/>
  <c r="L359" i="46"/>
  <c r="O358" i="46"/>
  <c r="N358" i="46"/>
  <c r="L358" i="46"/>
  <c r="O357" i="46"/>
  <c r="N357" i="46"/>
  <c r="L357" i="46"/>
  <c r="O356" i="46"/>
  <c r="N356" i="46"/>
  <c r="L356" i="46"/>
  <c r="O355" i="46"/>
  <c r="N355" i="46"/>
  <c r="L355" i="46"/>
  <c r="O354" i="46"/>
  <c r="N354" i="46"/>
  <c r="L354" i="46"/>
  <c r="O353" i="46"/>
  <c r="N353" i="46"/>
  <c r="L353" i="46"/>
  <c r="O352" i="46"/>
  <c r="N352" i="46"/>
  <c r="L352" i="46"/>
  <c r="O351" i="46"/>
  <c r="N351" i="46"/>
  <c r="L351" i="46"/>
  <c r="O350" i="46"/>
  <c r="N350" i="46"/>
  <c r="L350" i="46"/>
  <c r="O349" i="46"/>
  <c r="N349" i="46"/>
  <c r="L349" i="46"/>
  <c r="O348" i="46"/>
  <c r="N348" i="46"/>
  <c r="L348" i="46"/>
  <c r="O347" i="46"/>
  <c r="N347" i="46"/>
  <c r="L347" i="46"/>
  <c r="O346" i="46"/>
  <c r="N346" i="46"/>
  <c r="L346" i="46"/>
  <c r="O345" i="46"/>
  <c r="N345" i="46"/>
  <c r="L345" i="46"/>
  <c r="O344" i="46"/>
  <c r="N344" i="46"/>
  <c r="L344" i="46"/>
  <c r="O343" i="46"/>
  <c r="N343" i="46"/>
  <c r="L343" i="46"/>
  <c r="O342" i="46"/>
  <c r="N342" i="46"/>
  <c r="L342" i="46"/>
  <c r="O341" i="46"/>
  <c r="N341" i="46"/>
  <c r="L341" i="46"/>
  <c r="O340" i="46"/>
  <c r="N340" i="46"/>
  <c r="L340" i="46"/>
  <c r="O339" i="46"/>
  <c r="N339" i="46"/>
  <c r="L339" i="46"/>
  <c r="O338" i="46"/>
  <c r="N338" i="46"/>
  <c r="L338" i="46"/>
  <c r="O337" i="46"/>
  <c r="N337" i="46"/>
  <c r="L337" i="46"/>
  <c r="O336" i="46"/>
  <c r="N336" i="46"/>
  <c r="L336" i="46"/>
  <c r="O335" i="46"/>
  <c r="N335" i="46"/>
  <c r="L335" i="46"/>
  <c r="O334" i="46"/>
  <c r="N334" i="46"/>
  <c r="L334" i="46"/>
  <c r="O333" i="46"/>
  <c r="N333" i="46"/>
  <c r="L333" i="46"/>
  <c r="O332" i="46"/>
  <c r="N332" i="46"/>
  <c r="L332" i="46"/>
  <c r="O331" i="46"/>
  <c r="N331" i="46"/>
  <c r="L331" i="46"/>
  <c r="O330" i="46"/>
  <c r="N330" i="46"/>
  <c r="L330" i="46"/>
  <c r="O329" i="46"/>
  <c r="N329" i="46"/>
  <c r="L329" i="46"/>
  <c r="O328" i="46"/>
  <c r="N328" i="46"/>
  <c r="L328" i="46"/>
  <c r="O327" i="46"/>
  <c r="N327" i="46"/>
  <c r="L327" i="46"/>
  <c r="O326" i="46"/>
  <c r="N326" i="46"/>
  <c r="L326" i="46"/>
  <c r="O325" i="46"/>
  <c r="N325" i="46"/>
  <c r="L325" i="46"/>
  <c r="O324" i="46"/>
  <c r="N324" i="46"/>
  <c r="L324" i="46"/>
  <c r="O323" i="46"/>
  <c r="N323" i="46"/>
  <c r="L323" i="46"/>
  <c r="O322" i="46"/>
  <c r="N322" i="46"/>
  <c r="L322" i="46"/>
  <c r="O321" i="46"/>
  <c r="N321" i="46"/>
  <c r="L321" i="46"/>
  <c r="O320" i="46"/>
  <c r="N320" i="46"/>
  <c r="L320" i="46"/>
  <c r="O319" i="46"/>
  <c r="N319" i="46"/>
  <c r="L319" i="46"/>
  <c r="O318" i="46"/>
  <c r="N318" i="46"/>
  <c r="L318" i="46"/>
  <c r="O317" i="46"/>
  <c r="N317" i="46"/>
  <c r="L317" i="46"/>
  <c r="O316" i="46"/>
  <c r="N316" i="46"/>
  <c r="L316" i="46"/>
  <c r="O315" i="46"/>
  <c r="N315" i="46"/>
  <c r="L315" i="46"/>
  <c r="O314" i="46"/>
  <c r="N314" i="46"/>
  <c r="L314" i="46"/>
  <c r="O313" i="46"/>
  <c r="N313" i="46"/>
  <c r="L313" i="46"/>
  <c r="O312" i="46"/>
  <c r="N312" i="46"/>
  <c r="L312" i="46"/>
  <c r="O311" i="46"/>
  <c r="N311" i="46"/>
  <c r="L311" i="46"/>
  <c r="O310" i="46"/>
  <c r="N310" i="46"/>
  <c r="L310" i="46"/>
  <c r="O309" i="46"/>
  <c r="N309" i="46"/>
  <c r="L309" i="46"/>
  <c r="O308" i="46"/>
  <c r="N308" i="46"/>
  <c r="L308" i="46"/>
  <c r="O307" i="46"/>
  <c r="N307" i="46"/>
  <c r="L307" i="46"/>
  <c r="O306" i="46"/>
  <c r="N306" i="46"/>
  <c r="L306" i="46"/>
  <c r="O305" i="46"/>
  <c r="N305" i="46"/>
  <c r="L305" i="46"/>
  <c r="O304" i="46"/>
  <c r="N304" i="46"/>
  <c r="L304" i="46"/>
  <c r="O303" i="46"/>
  <c r="N303" i="46"/>
  <c r="L303" i="46"/>
  <c r="O302" i="46"/>
  <c r="N302" i="46"/>
  <c r="L302" i="46"/>
  <c r="O301" i="46"/>
  <c r="N301" i="46"/>
  <c r="L301" i="46"/>
  <c r="O300" i="46"/>
  <c r="N300" i="46"/>
  <c r="L300" i="46"/>
  <c r="O299" i="46"/>
  <c r="N299" i="46"/>
  <c r="L299" i="46"/>
  <c r="O298" i="46"/>
  <c r="N298" i="46"/>
  <c r="L298" i="46"/>
  <c r="O297" i="46"/>
  <c r="N297" i="46"/>
  <c r="L297" i="46"/>
  <c r="O296" i="46"/>
  <c r="N296" i="46"/>
  <c r="L296" i="46"/>
  <c r="O295" i="46"/>
  <c r="N295" i="46"/>
  <c r="L295" i="46"/>
  <c r="O294" i="46"/>
  <c r="N294" i="46"/>
  <c r="L294" i="46"/>
  <c r="O293" i="46"/>
  <c r="N293" i="46"/>
  <c r="L293" i="46"/>
  <c r="O292" i="46"/>
  <c r="N292" i="46"/>
  <c r="L292" i="46"/>
  <c r="O291" i="46"/>
  <c r="N291" i="46"/>
  <c r="L291" i="46"/>
  <c r="O290" i="46"/>
  <c r="N290" i="46"/>
  <c r="L290" i="46"/>
  <c r="O289" i="46"/>
  <c r="N289" i="46"/>
  <c r="L289" i="46"/>
  <c r="O288" i="46"/>
  <c r="N288" i="46"/>
  <c r="L288" i="46"/>
  <c r="O287" i="46"/>
  <c r="N287" i="46"/>
  <c r="L287" i="46"/>
  <c r="O286" i="46"/>
  <c r="N286" i="46"/>
  <c r="L286" i="46"/>
  <c r="O285" i="46"/>
  <c r="N285" i="46"/>
  <c r="L285" i="46"/>
  <c r="O284" i="46"/>
  <c r="N284" i="46"/>
  <c r="L284" i="46"/>
  <c r="O283" i="46"/>
  <c r="N283" i="46"/>
  <c r="L283" i="46"/>
  <c r="O282" i="46"/>
  <c r="N282" i="46"/>
  <c r="L282" i="46"/>
  <c r="O281" i="46"/>
  <c r="N281" i="46"/>
  <c r="L281" i="46"/>
  <c r="O280" i="46"/>
  <c r="N280" i="46"/>
  <c r="L280" i="46"/>
  <c r="O279" i="46"/>
  <c r="N279" i="46"/>
  <c r="L279" i="46"/>
  <c r="O278" i="46"/>
  <c r="N278" i="46"/>
  <c r="L278" i="46"/>
  <c r="O277" i="46"/>
  <c r="N277" i="46"/>
  <c r="L277" i="46"/>
  <c r="O276" i="46"/>
  <c r="N276" i="46"/>
  <c r="L276" i="46"/>
  <c r="O275" i="46"/>
  <c r="N275" i="46"/>
  <c r="L275" i="46"/>
  <c r="O274" i="46"/>
  <c r="N274" i="46"/>
  <c r="L274" i="46"/>
  <c r="O273" i="46"/>
  <c r="N273" i="46"/>
  <c r="L273" i="46"/>
  <c r="O272" i="46"/>
  <c r="N272" i="46"/>
  <c r="L272" i="46"/>
  <c r="O271" i="46"/>
  <c r="N271" i="46"/>
  <c r="L271" i="46"/>
  <c r="O270" i="46"/>
  <c r="N270" i="46"/>
  <c r="L270" i="46"/>
  <c r="O269" i="46"/>
  <c r="N269" i="46"/>
  <c r="L269" i="46"/>
  <c r="O268" i="46"/>
  <c r="N268" i="46"/>
  <c r="L268" i="46"/>
  <c r="O267" i="46"/>
  <c r="N267" i="46"/>
  <c r="L267" i="46"/>
  <c r="O266" i="46"/>
  <c r="N266" i="46"/>
  <c r="L266" i="46"/>
  <c r="O265" i="46"/>
  <c r="N265" i="46"/>
  <c r="L265" i="46"/>
  <c r="O264" i="46"/>
  <c r="N264" i="46"/>
  <c r="L264" i="46"/>
  <c r="O263" i="46"/>
  <c r="N263" i="46"/>
  <c r="L263" i="46"/>
  <c r="O262" i="46"/>
  <c r="N262" i="46"/>
  <c r="L262" i="46"/>
  <c r="O261" i="46"/>
  <c r="N261" i="46"/>
  <c r="L261" i="46"/>
  <c r="O260" i="46"/>
  <c r="N260" i="46"/>
  <c r="L260" i="46"/>
  <c r="O259" i="46"/>
  <c r="N259" i="46"/>
  <c r="L259" i="46"/>
  <c r="O258" i="46"/>
  <c r="N258" i="46"/>
  <c r="L258" i="46"/>
  <c r="O257" i="46"/>
  <c r="N257" i="46"/>
  <c r="L257" i="46"/>
  <c r="O256" i="46"/>
  <c r="N256" i="46"/>
  <c r="L256" i="46"/>
  <c r="O255" i="46"/>
  <c r="N255" i="46"/>
  <c r="L255" i="46"/>
  <c r="O254" i="46"/>
  <c r="N254" i="46"/>
  <c r="L254" i="46"/>
  <c r="O253" i="46"/>
  <c r="N253" i="46"/>
  <c r="L253" i="46"/>
  <c r="O252" i="46"/>
  <c r="N252" i="46"/>
  <c r="L252" i="46"/>
  <c r="O251" i="46"/>
  <c r="N251" i="46"/>
  <c r="L251" i="46"/>
  <c r="O250" i="46"/>
  <c r="N250" i="46"/>
  <c r="L250" i="46"/>
  <c r="O249" i="46"/>
  <c r="N249" i="46"/>
  <c r="L249" i="46"/>
  <c r="O248" i="46"/>
  <c r="N248" i="46"/>
  <c r="L248" i="46"/>
  <c r="O247" i="46"/>
  <c r="N247" i="46"/>
  <c r="L247" i="46"/>
  <c r="O246" i="46"/>
  <c r="N246" i="46"/>
  <c r="L246" i="46"/>
  <c r="O245" i="46"/>
  <c r="N245" i="46"/>
  <c r="L245" i="46"/>
  <c r="O244" i="46"/>
  <c r="N244" i="46"/>
  <c r="L244" i="46"/>
  <c r="O243" i="46"/>
  <c r="N243" i="46"/>
  <c r="L243" i="46"/>
  <c r="O242" i="46"/>
  <c r="N242" i="46"/>
  <c r="L242" i="46"/>
  <c r="O241" i="46"/>
  <c r="N241" i="46"/>
  <c r="L241" i="46"/>
  <c r="O240" i="46"/>
  <c r="N240" i="46"/>
  <c r="L240" i="46"/>
  <c r="O239" i="46"/>
  <c r="N239" i="46"/>
  <c r="L239" i="46"/>
  <c r="O238" i="46"/>
  <c r="N238" i="46"/>
  <c r="L238" i="46"/>
  <c r="O237" i="46"/>
  <c r="N237" i="46"/>
  <c r="L237" i="46"/>
  <c r="O236" i="46"/>
  <c r="N236" i="46"/>
  <c r="L236" i="46"/>
  <c r="O235" i="46"/>
  <c r="N235" i="46"/>
  <c r="L235" i="46"/>
  <c r="O234" i="46"/>
  <c r="N234" i="46"/>
  <c r="L234" i="46"/>
  <c r="O233" i="46"/>
  <c r="N233" i="46"/>
  <c r="L233" i="46"/>
  <c r="O232" i="46"/>
  <c r="N232" i="46"/>
  <c r="L232" i="46"/>
  <c r="O231" i="46"/>
  <c r="N231" i="46"/>
  <c r="L231" i="46"/>
  <c r="O230" i="46"/>
  <c r="N230" i="46"/>
  <c r="L230" i="46"/>
  <c r="O229" i="46"/>
  <c r="N229" i="46"/>
  <c r="L229" i="46"/>
  <c r="O228" i="46"/>
  <c r="N228" i="46"/>
  <c r="L228" i="46"/>
  <c r="O227" i="46"/>
  <c r="N227" i="46"/>
  <c r="L227" i="46"/>
  <c r="O226" i="46"/>
  <c r="N226" i="46"/>
  <c r="L226" i="46"/>
  <c r="O225" i="46"/>
  <c r="N225" i="46"/>
  <c r="L225" i="46"/>
  <c r="O224" i="46"/>
  <c r="N224" i="46"/>
  <c r="L224" i="46"/>
  <c r="O223" i="46"/>
  <c r="N223" i="46"/>
  <c r="L223" i="46"/>
  <c r="O222" i="46"/>
  <c r="N222" i="46"/>
  <c r="L222" i="46"/>
  <c r="O221" i="46"/>
  <c r="N221" i="46"/>
  <c r="L221" i="46"/>
  <c r="O220" i="46"/>
  <c r="N220" i="46"/>
  <c r="L220" i="46"/>
  <c r="O219" i="46"/>
  <c r="N219" i="46"/>
  <c r="L219" i="46"/>
  <c r="O218" i="46"/>
  <c r="N218" i="46"/>
  <c r="L218" i="46"/>
  <c r="O217" i="46"/>
  <c r="N217" i="46"/>
  <c r="L217" i="46"/>
  <c r="O216" i="46"/>
  <c r="N216" i="46"/>
  <c r="L216" i="46"/>
  <c r="O215" i="46"/>
  <c r="N215" i="46"/>
  <c r="L215" i="46"/>
  <c r="O214" i="46"/>
  <c r="N214" i="46"/>
  <c r="L214" i="46"/>
  <c r="O213" i="46"/>
  <c r="N213" i="46"/>
  <c r="L213" i="46"/>
  <c r="O212" i="46"/>
  <c r="N212" i="46"/>
  <c r="L212" i="46"/>
  <c r="O211" i="46"/>
  <c r="N211" i="46"/>
  <c r="L211" i="46"/>
  <c r="O210" i="46"/>
  <c r="N210" i="46"/>
  <c r="L210" i="46"/>
  <c r="O209" i="46"/>
  <c r="N209" i="46"/>
  <c r="L209" i="46"/>
  <c r="O208" i="46"/>
  <c r="N208" i="46"/>
  <c r="L208" i="46"/>
  <c r="O207" i="46"/>
  <c r="N207" i="46"/>
  <c r="L207" i="46"/>
  <c r="O206" i="46"/>
  <c r="N206" i="46"/>
  <c r="L206" i="46"/>
  <c r="O205" i="46"/>
  <c r="N205" i="46"/>
  <c r="L205" i="46"/>
  <c r="O204" i="46"/>
  <c r="N204" i="46"/>
  <c r="L204" i="46"/>
  <c r="O203" i="46"/>
  <c r="N203" i="46"/>
  <c r="L203" i="46"/>
  <c r="O202" i="46"/>
  <c r="N202" i="46"/>
  <c r="L202" i="46"/>
  <c r="O201" i="46"/>
  <c r="N201" i="46"/>
  <c r="L201" i="46"/>
  <c r="O200" i="46"/>
  <c r="N200" i="46"/>
  <c r="L200" i="46"/>
  <c r="O199" i="46"/>
  <c r="N199" i="46"/>
  <c r="L199" i="46"/>
  <c r="O198" i="46"/>
  <c r="N198" i="46"/>
  <c r="L198" i="46"/>
  <c r="O197" i="46"/>
  <c r="N197" i="46"/>
  <c r="L197" i="46"/>
  <c r="O196" i="46"/>
  <c r="N196" i="46"/>
  <c r="L196" i="46"/>
  <c r="O195" i="46"/>
  <c r="N195" i="46"/>
  <c r="L195" i="46"/>
  <c r="O194" i="46"/>
  <c r="N194" i="46"/>
  <c r="L194" i="46"/>
  <c r="O193" i="46"/>
  <c r="N193" i="46"/>
  <c r="L193" i="46"/>
  <c r="O192" i="46"/>
  <c r="N192" i="46"/>
  <c r="L192" i="46"/>
  <c r="O191" i="46"/>
  <c r="N191" i="46"/>
  <c r="L191" i="46"/>
  <c r="O190" i="46"/>
  <c r="N190" i="46"/>
  <c r="L190" i="46"/>
  <c r="O189" i="46"/>
  <c r="N189" i="46"/>
  <c r="L189" i="46"/>
  <c r="O188" i="46"/>
  <c r="N188" i="46"/>
  <c r="L188" i="46"/>
  <c r="O187" i="46"/>
  <c r="N187" i="46"/>
  <c r="L187" i="46"/>
  <c r="O186" i="46"/>
  <c r="N186" i="46"/>
  <c r="L186" i="46"/>
  <c r="O185" i="46"/>
  <c r="N185" i="46"/>
  <c r="L185" i="46"/>
  <c r="O184" i="46"/>
  <c r="N184" i="46"/>
  <c r="L184" i="46"/>
  <c r="O183" i="46"/>
  <c r="N183" i="46"/>
  <c r="L183" i="46"/>
  <c r="O182" i="46"/>
  <c r="N182" i="46"/>
  <c r="L182" i="46"/>
  <c r="O181" i="46"/>
  <c r="N181" i="46"/>
  <c r="L181" i="46"/>
  <c r="O180" i="46"/>
  <c r="N180" i="46"/>
  <c r="L180" i="46"/>
  <c r="O179" i="46"/>
  <c r="N179" i="46"/>
  <c r="L179" i="46"/>
  <c r="O178" i="46"/>
  <c r="N178" i="46"/>
  <c r="L178" i="46"/>
  <c r="O177" i="46"/>
  <c r="N177" i="46"/>
  <c r="L177" i="46"/>
  <c r="O176" i="46"/>
  <c r="N176" i="46"/>
  <c r="L176" i="46"/>
  <c r="O175" i="46"/>
  <c r="N175" i="46"/>
  <c r="L175" i="46"/>
  <c r="O174" i="46"/>
  <c r="N174" i="46"/>
  <c r="L174" i="46"/>
  <c r="O173" i="46"/>
  <c r="N173" i="46"/>
  <c r="L173" i="46"/>
  <c r="O172" i="46"/>
  <c r="N172" i="46"/>
  <c r="L172" i="46"/>
  <c r="O171" i="46"/>
  <c r="N171" i="46"/>
  <c r="L171" i="46"/>
  <c r="O170" i="46"/>
  <c r="N170" i="46"/>
  <c r="L170" i="46"/>
  <c r="O169" i="46"/>
  <c r="N169" i="46"/>
  <c r="L169" i="46"/>
  <c r="O168" i="46"/>
  <c r="N168" i="46"/>
  <c r="L168" i="46"/>
  <c r="O167" i="46"/>
  <c r="N167" i="46"/>
  <c r="L167" i="46"/>
  <c r="O166" i="46"/>
  <c r="N166" i="46"/>
  <c r="L166" i="46"/>
  <c r="O165" i="46"/>
  <c r="N165" i="46"/>
  <c r="L165" i="46"/>
  <c r="O164" i="46"/>
  <c r="N164" i="46"/>
  <c r="L164" i="46"/>
  <c r="O163" i="46"/>
  <c r="N163" i="46"/>
  <c r="L163" i="46"/>
  <c r="O162" i="46"/>
  <c r="N162" i="46"/>
  <c r="L162" i="46"/>
  <c r="O161" i="46"/>
  <c r="N161" i="46"/>
  <c r="L161" i="46"/>
  <c r="O160" i="46"/>
  <c r="N160" i="46"/>
  <c r="L160" i="46"/>
  <c r="O159" i="46"/>
  <c r="N159" i="46"/>
  <c r="L159" i="46"/>
  <c r="O158" i="46"/>
  <c r="N158" i="46"/>
  <c r="L158" i="46"/>
  <c r="O157" i="46"/>
  <c r="N157" i="46"/>
  <c r="L157" i="46"/>
  <c r="O156" i="46"/>
  <c r="N156" i="46"/>
  <c r="L156" i="46"/>
  <c r="O155" i="46"/>
  <c r="N155" i="46"/>
  <c r="L155" i="46"/>
  <c r="O154" i="46"/>
  <c r="N154" i="46"/>
  <c r="L154" i="46"/>
  <c r="O153" i="46"/>
  <c r="N153" i="46"/>
  <c r="L153" i="46"/>
  <c r="O152" i="46"/>
  <c r="N152" i="46"/>
  <c r="L152" i="46"/>
  <c r="O151" i="46"/>
  <c r="N151" i="46"/>
  <c r="L151" i="46"/>
  <c r="O150" i="46"/>
  <c r="N150" i="46"/>
  <c r="L150" i="46"/>
  <c r="O149" i="46"/>
  <c r="N149" i="46"/>
  <c r="L149" i="46"/>
  <c r="O148" i="46"/>
  <c r="N148" i="46"/>
  <c r="L148" i="46"/>
  <c r="O147" i="46"/>
  <c r="N147" i="46"/>
  <c r="L147" i="46"/>
  <c r="O146" i="46"/>
  <c r="N146" i="46"/>
  <c r="L146" i="46"/>
  <c r="O145" i="46"/>
  <c r="N145" i="46"/>
  <c r="L145" i="46"/>
  <c r="O144" i="46"/>
  <c r="N144" i="46"/>
  <c r="L144" i="46"/>
  <c r="O143" i="46"/>
  <c r="N143" i="46"/>
  <c r="L143" i="46"/>
  <c r="O142" i="46"/>
  <c r="N142" i="46"/>
  <c r="L142" i="46"/>
  <c r="O141" i="46"/>
  <c r="N141" i="46"/>
  <c r="L141" i="46"/>
  <c r="O140" i="46"/>
  <c r="N140" i="46"/>
  <c r="L140" i="46"/>
  <c r="O139" i="46"/>
  <c r="N139" i="46"/>
  <c r="L139" i="46"/>
  <c r="O138" i="46"/>
  <c r="N138" i="46"/>
  <c r="L138" i="46"/>
  <c r="O137" i="46"/>
  <c r="N137" i="46"/>
  <c r="L137" i="46"/>
  <c r="O136" i="46"/>
  <c r="N136" i="46"/>
  <c r="L136" i="46"/>
  <c r="O135" i="46"/>
  <c r="N135" i="46"/>
  <c r="L135" i="46"/>
  <c r="O134" i="46"/>
  <c r="N134" i="46"/>
  <c r="L134" i="46"/>
  <c r="O133" i="46"/>
  <c r="N133" i="46"/>
  <c r="L133" i="46"/>
  <c r="O132" i="46"/>
  <c r="N132" i="46"/>
  <c r="L132" i="46"/>
  <c r="O131" i="46"/>
  <c r="N131" i="46"/>
  <c r="L131" i="46"/>
  <c r="O130" i="46"/>
  <c r="N130" i="46"/>
  <c r="L130" i="46"/>
  <c r="O129" i="46"/>
  <c r="N129" i="46"/>
  <c r="L129" i="46"/>
  <c r="O128" i="46"/>
  <c r="N128" i="46"/>
  <c r="L128" i="46"/>
  <c r="O127" i="46"/>
  <c r="N127" i="46"/>
  <c r="L127" i="46"/>
  <c r="O126" i="46"/>
  <c r="N126" i="46"/>
  <c r="L126" i="46"/>
  <c r="O125" i="46"/>
  <c r="N125" i="46"/>
  <c r="L125" i="46"/>
  <c r="O124" i="46"/>
  <c r="N124" i="46"/>
  <c r="L124" i="46"/>
  <c r="O123" i="46"/>
  <c r="N123" i="46"/>
  <c r="L123" i="46"/>
  <c r="O122" i="46"/>
  <c r="N122" i="46"/>
  <c r="L122" i="46"/>
  <c r="O121" i="46"/>
  <c r="N121" i="46"/>
  <c r="L121" i="46"/>
  <c r="O120" i="46"/>
  <c r="N120" i="46"/>
  <c r="L120" i="46"/>
  <c r="O119" i="46"/>
  <c r="N119" i="46"/>
  <c r="L119" i="46"/>
  <c r="O118" i="46"/>
  <c r="N118" i="46"/>
  <c r="L118" i="46"/>
  <c r="O117" i="46"/>
  <c r="N117" i="46"/>
  <c r="L117" i="46"/>
  <c r="O116" i="46"/>
  <c r="N116" i="46"/>
  <c r="L116" i="46"/>
  <c r="O115" i="46"/>
  <c r="N115" i="46"/>
  <c r="L115" i="46"/>
  <c r="O114" i="46"/>
  <c r="N114" i="46"/>
  <c r="L114" i="46"/>
  <c r="O113" i="46"/>
  <c r="N113" i="46"/>
  <c r="L113" i="46"/>
  <c r="O112" i="46"/>
  <c r="N112" i="46"/>
  <c r="L112" i="46"/>
  <c r="O111" i="46"/>
  <c r="N111" i="46"/>
  <c r="L111" i="46"/>
  <c r="O110" i="46"/>
  <c r="N110" i="46"/>
  <c r="L110" i="46"/>
  <c r="O109" i="46"/>
  <c r="N109" i="46"/>
  <c r="L109" i="46"/>
  <c r="O108" i="46"/>
  <c r="N108" i="46"/>
  <c r="L108" i="46"/>
  <c r="O107" i="46"/>
  <c r="N107" i="46"/>
  <c r="L107" i="46"/>
  <c r="O106" i="46"/>
  <c r="N106" i="46"/>
  <c r="L106" i="46"/>
  <c r="O105" i="46"/>
  <c r="N105" i="46"/>
  <c r="L105" i="46"/>
  <c r="O104" i="46"/>
  <c r="N104" i="46"/>
  <c r="L104" i="46"/>
  <c r="O103" i="46"/>
  <c r="N103" i="46"/>
  <c r="L103" i="46"/>
  <c r="O102" i="46"/>
  <c r="N102" i="46"/>
  <c r="L102" i="46"/>
  <c r="O101" i="46"/>
  <c r="N101" i="46"/>
  <c r="L101" i="46"/>
  <c r="O100" i="46"/>
  <c r="N100" i="46"/>
  <c r="L100" i="46"/>
  <c r="O99" i="46"/>
  <c r="N99" i="46"/>
  <c r="L99" i="46"/>
  <c r="O98" i="46"/>
  <c r="N98" i="46"/>
  <c r="L98" i="46"/>
  <c r="O97" i="46"/>
  <c r="N97" i="46"/>
  <c r="L97" i="46"/>
  <c r="O96" i="46"/>
  <c r="N96" i="46"/>
  <c r="L96" i="46"/>
  <c r="O95" i="46"/>
  <c r="N95" i="46"/>
  <c r="L95" i="46"/>
  <c r="O94" i="46"/>
  <c r="N94" i="46"/>
  <c r="L94" i="46"/>
  <c r="O93" i="46"/>
  <c r="N93" i="46"/>
  <c r="L93" i="46"/>
  <c r="O92" i="46"/>
  <c r="N92" i="46"/>
  <c r="L92" i="46"/>
  <c r="O91" i="46"/>
  <c r="N91" i="46"/>
  <c r="L91" i="46"/>
  <c r="O90" i="46"/>
  <c r="N90" i="46"/>
  <c r="L90" i="46"/>
  <c r="O89" i="46"/>
  <c r="N89" i="46"/>
  <c r="L89" i="46"/>
  <c r="O88" i="46"/>
  <c r="N88" i="46"/>
  <c r="L88" i="46"/>
  <c r="O87" i="46"/>
  <c r="N87" i="46"/>
  <c r="L87" i="46"/>
  <c r="O86" i="46"/>
  <c r="N86" i="46"/>
  <c r="L86" i="46"/>
  <c r="O85" i="46"/>
  <c r="N85" i="46"/>
  <c r="L85" i="46"/>
  <c r="O84" i="46"/>
  <c r="N84" i="46"/>
  <c r="L84" i="46"/>
  <c r="O83" i="46"/>
  <c r="N83" i="46"/>
  <c r="L83" i="46"/>
  <c r="O82" i="46"/>
  <c r="N82" i="46"/>
  <c r="L82" i="46"/>
  <c r="O81" i="46"/>
  <c r="N81" i="46"/>
  <c r="L81" i="46"/>
  <c r="O80" i="46"/>
  <c r="N80" i="46"/>
  <c r="L80" i="46"/>
  <c r="O79" i="46"/>
  <c r="N79" i="46"/>
  <c r="L79" i="46"/>
  <c r="O78" i="46"/>
  <c r="N78" i="46"/>
  <c r="L78" i="46"/>
  <c r="O77" i="46"/>
  <c r="N77" i="46"/>
  <c r="L77" i="46"/>
  <c r="O76" i="46"/>
  <c r="N76" i="46"/>
  <c r="L76" i="46"/>
  <c r="O75" i="46"/>
  <c r="N75" i="46"/>
  <c r="L75" i="46"/>
  <c r="O74" i="46"/>
  <c r="N74" i="46"/>
  <c r="L74" i="46"/>
  <c r="O73" i="46"/>
  <c r="N73" i="46"/>
  <c r="L73" i="46"/>
  <c r="O72" i="46"/>
  <c r="N72" i="46"/>
  <c r="L72" i="46"/>
  <c r="O71" i="46"/>
  <c r="N71" i="46"/>
  <c r="L71" i="46"/>
  <c r="O70" i="46"/>
  <c r="N70" i="46"/>
  <c r="L70" i="46"/>
  <c r="O69" i="46"/>
  <c r="N69" i="46"/>
  <c r="L69" i="46"/>
  <c r="O68" i="46"/>
  <c r="N68" i="46"/>
  <c r="L68" i="46"/>
  <c r="O67" i="46"/>
  <c r="N67" i="46"/>
  <c r="L67" i="46"/>
  <c r="O66" i="46"/>
  <c r="N66" i="46"/>
  <c r="L66" i="46"/>
  <c r="O65" i="46"/>
  <c r="N65" i="46"/>
  <c r="L65" i="46"/>
  <c r="O64" i="46"/>
  <c r="N64" i="46"/>
  <c r="L64" i="46"/>
  <c r="O63" i="46"/>
  <c r="N63" i="46"/>
  <c r="L63" i="46"/>
  <c r="O62" i="46"/>
  <c r="N62" i="46"/>
  <c r="L62" i="46"/>
  <c r="O61" i="46"/>
  <c r="N61" i="46"/>
  <c r="L61" i="46"/>
  <c r="O60" i="46"/>
  <c r="N60" i="46"/>
  <c r="L60" i="46"/>
  <c r="O59" i="46"/>
  <c r="N59" i="46"/>
  <c r="L59" i="46"/>
  <c r="O58" i="46"/>
  <c r="N58" i="46"/>
  <c r="L58" i="46"/>
  <c r="O57" i="46"/>
  <c r="N57" i="46"/>
  <c r="L57" i="46"/>
  <c r="O56" i="46"/>
  <c r="N56" i="46"/>
  <c r="L56" i="46"/>
  <c r="O55" i="46"/>
  <c r="N55" i="46"/>
  <c r="L55" i="46"/>
  <c r="O54" i="46"/>
  <c r="N54" i="46"/>
  <c r="L54" i="46"/>
  <c r="O53" i="46"/>
  <c r="N53" i="46"/>
  <c r="L53" i="46"/>
  <c r="O52" i="46"/>
  <c r="N52" i="46"/>
  <c r="L52" i="46"/>
  <c r="O51" i="46"/>
  <c r="N51" i="46"/>
  <c r="L51" i="46"/>
  <c r="O50" i="46"/>
  <c r="N50" i="46"/>
  <c r="L50" i="46"/>
  <c r="O49" i="46"/>
  <c r="N49" i="46"/>
  <c r="L49" i="46"/>
  <c r="O48" i="46"/>
  <c r="N48" i="46"/>
  <c r="L48" i="46"/>
  <c r="O47" i="46"/>
  <c r="N47" i="46"/>
  <c r="L47" i="46"/>
  <c r="O46" i="46"/>
  <c r="N46" i="46"/>
  <c r="L46" i="46"/>
  <c r="O45" i="46"/>
  <c r="N45" i="46"/>
  <c r="L45" i="46"/>
  <c r="O44" i="46"/>
  <c r="N44" i="46"/>
  <c r="L44" i="46"/>
  <c r="O43" i="46"/>
  <c r="N43" i="46"/>
  <c r="L43" i="46"/>
  <c r="O42" i="46"/>
  <c r="N42" i="46"/>
  <c r="L42" i="46"/>
  <c r="O41" i="46"/>
  <c r="N41" i="46"/>
  <c r="L41" i="46"/>
  <c r="O40" i="46"/>
  <c r="N40" i="46"/>
  <c r="L40" i="46"/>
  <c r="O39" i="46"/>
  <c r="N39" i="46"/>
  <c r="L39" i="46"/>
  <c r="O38" i="46"/>
  <c r="N38" i="46"/>
  <c r="L38" i="46"/>
  <c r="O37" i="46"/>
  <c r="N37" i="46"/>
  <c r="L37" i="46"/>
  <c r="O36" i="46"/>
  <c r="N36" i="46"/>
  <c r="L36" i="46"/>
  <c r="O35" i="46"/>
  <c r="N35" i="46"/>
  <c r="L35" i="46"/>
  <c r="O34" i="46"/>
  <c r="N34" i="46"/>
  <c r="L34" i="46"/>
  <c r="O33" i="46"/>
  <c r="N33" i="46"/>
  <c r="L33" i="46"/>
  <c r="O32" i="46"/>
  <c r="N32" i="46"/>
  <c r="L32" i="46"/>
  <c r="O31" i="46"/>
  <c r="N31" i="46"/>
  <c r="L31" i="46"/>
  <c r="O30" i="46"/>
  <c r="N30" i="46"/>
  <c r="L30" i="46"/>
  <c r="O29" i="46"/>
  <c r="N29" i="46"/>
  <c r="L29" i="46"/>
  <c r="O28" i="46"/>
  <c r="N28" i="46"/>
  <c r="L28" i="46"/>
  <c r="O27" i="46"/>
  <c r="N27" i="46"/>
  <c r="L27" i="46"/>
  <c r="O26" i="46"/>
  <c r="N26" i="46"/>
  <c r="L26" i="46"/>
  <c r="O25" i="46"/>
  <c r="N25" i="46"/>
  <c r="L25" i="46"/>
  <c r="O24" i="46"/>
  <c r="N24" i="46"/>
  <c r="L24" i="46"/>
  <c r="O23" i="46"/>
  <c r="N23" i="46"/>
  <c r="L23" i="46"/>
  <c r="O22" i="46"/>
  <c r="N22" i="46"/>
  <c r="L22" i="46"/>
  <c r="O21" i="46"/>
  <c r="N21" i="46"/>
  <c r="L21" i="46"/>
  <c r="O20" i="46"/>
  <c r="N20" i="46"/>
  <c r="L20" i="46"/>
  <c r="O19" i="46"/>
  <c r="N19" i="46"/>
  <c r="L19" i="46"/>
  <c r="O18" i="46"/>
  <c r="N18" i="46"/>
  <c r="L18" i="46"/>
  <c r="O17" i="46"/>
  <c r="N17" i="46"/>
  <c r="L17" i="46"/>
  <c r="O16" i="46"/>
  <c r="N16" i="46"/>
  <c r="L16" i="46"/>
  <c r="O15" i="46"/>
  <c r="N15" i="46"/>
  <c r="L15" i="46"/>
  <c r="O14" i="46"/>
  <c r="N14" i="46"/>
  <c r="L14" i="46"/>
  <c r="O13" i="46"/>
  <c r="N13" i="46"/>
  <c r="L13" i="46"/>
  <c r="O12" i="46"/>
  <c r="N12" i="46"/>
  <c r="L12" i="46"/>
  <c r="O11" i="46"/>
  <c r="N11" i="46"/>
  <c r="L11" i="46"/>
  <c r="O10" i="46"/>
  <c r="N10" i="46"/>
  <c r="L10" i="46"/>
  <c r="O9" i="46"/>
  <c r="N9" i="46"/>
  <c r="L9" i="46"/>
  <c r="O8" i="46"/>
  <c r="N8" i="46"/>
  <c r="L8" i="46"/>
  <c r="P110" i="46" l="1"/>
  <c r="P360" i="46"/>
  <c r="P30" i="46"/>
  <c r="P270" i="46"/>
  <c r="P10" i="46"/>
  <c r="P90" i="46"/>
  <c r="P170" i="46"/>
  <c r="P250" i="46"/>
  <c r="P190" i="46"/>
  <c r="P70" i="46"/>
  <c r="P150" i="46"/>
  <c r="P230" i="46"/>
  <c r="P337" i="46"/>
  <c r="P50" i="46"/>
  <c r="P130" i="46"/>
  <c r="P210" i="46"/>
  <c r="I920" i="38"/>
  <c r="R2080" i="42"/>
  <c r="P204" i="46"/>
  <c r="P304" i="46"/>
  <c r="P104" i="46"/>
  <c r="P144" i="46"/>
  <c r="P264" i="46"/>
  <c r="P358" i="46"/>
  <c r="P19" i="46"/>
  <c r="P59" i="46"/>
  <c r="P79" i="46"/>
  <c r="P99" i="46"/>
  <c r="P139" i="46"/>
  <c r="P179" i="46"/>
  <c r="P199" i="46"/>
  <c r="P219" i="46"/>
  <c r="P239" i="46"/>
  <c r="P279" i="46"/>
  <c r="P299" i="46"/>
  <c r="P359" i="46"/>
  <c r="P326" i="46"/>
  <c r="P346" i="46"/>
  <c r="P333" i="46"/>
  <c r="P44" i="46"/>
  <c r="P184" i="46"/>
  <c r="P324" i="46"/>
  <c r="P39" i="46"/>
  <c r="P119" i="46"/>
  <c r="P159" i="46"/>
  <c r="P259" i="46"/>
  <c r="P339" i="46"/>
  <c r="P281" i="46"/>
  <c r="P301" i="46"/>
  <c r="P321" i="46"/>
  <c r="P341" i="46"/>
  <c r="P24" i="46"/>
  <c r="P64" i="46"/>
  <c r="P124" i="46"/>
  <c r="P224" i="46"/>
  <c r="P284" i="46"/>
  <c r="P344" i="46"/>
  <c r="P21" i="46"/>
  <c r="P41" i="46"/>
  <c r="P61" i="46"/>
  <c r="P81" i="46"/>
  <c r="P121" i="46"/>
  <c r="P141" i="46"/>
  <c r="P161" i="46"/>
  <c r="P201" i="46"/>
  <c r="P221" i="46"/>
  <c r="P241" i="46"/>
  <c r="P261" i="46"/>
  <c r="P302" i="46"/>
  <c r="P322" i="46"/>
  <c r="P356" i="46"/>
  <c r="P343" i="46"/>
  <c r="P84" i="46"/>
  <c r="P164" i="46"/>
  <c r="P244" i="46"/>
  <c r="P101" i="46"/>
  <c r="P181" i="46"/>
  <c r="P290" i="46"/>
  <c r="P364" i="46"/>
  <c r="P351" i="46"/>
  <c r="P86" i="46"/>
  <c r="P338" i="46"/>
  <c r="P365" i="46"/>
  <c r="P26" i="46"/>
  <c r="P106" i="46"/>
  <c r="P146" i="46"/>
  <c r="P266" i="46"/>
  <c r="P113" i="46"/>
  <c r="P193" i="46"/>
  <c r="P293" i="46"/>
  <c r="P40" i="46"/>
  <c r="P240" i="46"/>
  <c r="P127" i="46"/>
  <c r="P167" i="46"/>
  <c r="P88" i="46"/>
  <c r="P11" i="46"/>
  <c r="P31" i="46"/>
  <c r="P51" i="46"/>
  <c r="P71" i="46"/>
  <c r="P91" i="46"/>
  <c r="P111" i="46"/>
  <c r="P131" i="46"/>
  <c r="P151" i="46"/>
  <c r="P171" i="46"/>
  <c r="P191" i="46"/>
  <c r="P211" i="46"/>
  <c r="P231" i="46"/>
  <c r="P251" i="46"/>
  <c r="P271" i="46"/>
  <c r="P291" i="46"/>
  <c r="P311" i="46"/>
  <c r="P331" i="46"/>
  <c r="P18" i="46"/>
  <c r="P38" i="46"/>
  <c r="P58" i="46"/>
  <c r="P78" i="46"/>
  <c r="P98" i="46"/>
  <c r="P118" i="46"/>
  <c r="P138" i="46"/>
  <c r="P158" i="46"/>
  <c r="P178" i="46"/>
  <c r="P198" i="46"/>
  <c r="P218" i="46"/>
  <c r="P238" i="46"/>
  <c r="P258" i="46"/>
  <c r="P278" i="46"/>
  <c r="P298" i="46"/>
  <c r="P318" i="46"/>
  <c r="P25" i="46"/>
  <c r="P45" i="46"/>
  <c r="P65" i="46"/>
  <c r="P85" i="46"/>
  <c r="P105" i="46"/>
  <c r="P125" i="46"/>
  <c r="P145" i="46"/>
  <c r="P165" i="46"/>
  <c r="P185" i="46"/>
  <c r="P205" i="46"/>
  <c r="P225" i="46"/>
  <c r="P245" i="46"/>
  <c r="P265" i="46"/>
  <c r="P285" i="46"/>
  <c r="P305" i="46"/>
  <c r="P12" i="46"/>
  <c r="P32" i="46"/>
  <c r="P52" i="46"/>
  <c r="P72" i="46"/>
  <c r="P92" i="46"/>
  <c r="P112" i="46"/>
  <c r="P132" i="46"/>
  <c r="P152" i="46"/>
  <c r="P172" i="46"/>
  <c r="P192" i="46"/>
  <c r="P212" i="46"/>
  <c r="P232" i="46"/>
  <c r="P252" i="46"/>
  <c r="P272" i="46"/>
  <c r="P292" i="46"/>
  <c r="P312" i="46"/>
  <c r="P332" i="46"/>
  <c r="P319" i="46"/>
  <c r="P366" i="46"/>
  <c r="P353" i="46"/>
  <c r="H377" i="46"/>
  <c r="P206" i="46"/>
  <c r="P246" i="46"/>
  <c r="P73" i="46"/>
  <c r="P153" i="46"/>
  <c r="P233" i="46"/>
  <c r="P100" i="46"/>
  <c r="P180" i="46"/>
  <c r="P280" i="46"/>
  <c r="P47" i="46"/>
  <c r="P107" i="46"/>
  <c r="P207" i="46"/>
  <c r="P267" i="46"/>
  <c r="P287" i="46"/>
  <c r="P307" i="46"/>
  <c r="P327" i="46"/>
  <c r="P347" i="46"/>
  <c r="P126" i="46"/>
  <c r="P166" i="46"/>
  <c r="P286" i="46"/>
  <c r="P33" i="46"/>
  <c r="P133" i="46"/>
  <c r="P313" i="46"/>
  <c r="P20" i="46"/>
  <c r="P200" i="46"/>
  <c r="P260" i="46"/>
  <c r="P300" i="46"/>
  <c r="P27" i="46"/>
  <c r="P87" i="46"/>
  <c r="P247" i="46"/>
  <c r="P14" i="46"/>
  <c r="P34" i="46"/>
  <c r="P54" i="46"/>
  <c r="P74" i="46"/>
  <c r="P94" i="46"/>
  <c r="P114" i="46"/>
  <c r="P134" i="46"/>
  <c r="P154" i="46"/>
  <c r="P174" i="46"/>
  <c r="P194" i="46"/>
  <c r="P214" i="46"/>
  <c r="P234" i="46"/>
  <c r="P254" i="46"/>
  <c r="P274" i="46"/>
  <c r="P294" i="46"/>
  <c r="P314" i="46"/>
  <c r="P334" i="46"/>
  <c r="P354" i="46"/>
  <c r="P361" i="46"/>
  <c r="P348" i="46"/>
  <c r="P295" i="46"/>
  <c r="P342" i="46"/>
  <c r="P66" i="46"/>
  <c r="P186" i="46"/>
  <c r="P226" i="46"/>
  <c r="P53" i="46"/>
  <c r="P213" i="46"/>
  <c r="P273" i="46"/>
  <c r="P60" i="46"/>
  <c r="P80" i="46"/>
  <c r="P140" i="46"/>
  <c r="P187" i="46"/>
  <c r="P48" i="46"/>
  <c r="P349" i="46"/>
  <c r="P336" i="46"/>
  <c r="P46" i="46"/>
  <c r="P306" i="46"/>
  <c r="P13" i="46"/>
  <c r="P93" i="46"/>
  <c r="P173" i="46"/>
  <c r="P253" i="46"/>
  <c r="P120" i="46"/>
  <c r="P160" i="46"/>
  <c r="P220" i="46"/>
  <c r="P67" i="46"/>
  <c r="P147" i="46"/>
  <c r="P68" i="46"/>
  <c r="P128" i="46"/>
  <c r="P75" i="46"/>
  <c r="P135" i="46"/>
  <c r="P175" i="46"/>
  <c r="P195" i="46"/>
  <c r="P255" i="46"/>
  <c r="P275" i="46"/>
  <c r="P62" i="46"/>
  <c r="P82" i="46"/>
  <c r="P122" i="46"/>
  <c r="P242" i="46"/>
  <c r="P9" i="46"/>
  <c r="P69" i="46"/>
  <c r="P89" i="46"/>
  <c r="P129" i="46"/>
  <c r="P149" i="46"/>
  <c r="P169" i="46"/>
  <c r="P189" i="46"/>
  <c r="P209" i="46"/>
  <c r="P229" i="46"/>
  <c r="P269" i="46"/>
  <c r="P289" i="46"/>
  <c r="P309" i="46"/>
  <c r="P329" i="46"/>
  <c r="P16" i="46"/>
  <c r="P36" i="46"/>
  <c r="P56" i="46"/>
  <c r="P76" i="46"/>
  <c r="P96" i="46"/>
  <c r="P116" i="46"/>
  <c r="P136" i="46"/>
  <c r="P156" i="46"/>
  <c r="P176" i="46"/>
  <c r="P196" i="46"/>
  <c r="P216" i="46"/>
  <c r="P236" i="46"/>
  <c r="P256" i="46"/>
  <c r="P276" i="46"/>
  <c r="P296" i="46"/>
  <c r="P316" i="46"/>
  <c r="P23" i="46"/>
  <c r="P43" i="46"/>
  <c r="P63" i="46"/>
  <c r="P83" i="46"/>
  <c r="P103" i="46"/>
  <c r="P123" i="46"/>
  <c r="P143" i="46"/>
  <c r="P163" i="46"/>
  <c r="P183" i="46"/>
  <c r="P203" i="46"/>
  <c r="P223" i="46"/>
  <c r="P243" i="46"/>
  <c r="P263" i="46"/>
  <c r="P283" i="46"/>
  <c r="P303" i="46"/>
  <c r="P323" i="46"/>
  <c r="P363" i="46"/>
  <c r="P330" i="46"/>
  <c r="P227" i="46"/>
  <c r="P8" i="46"/>
  <c r="P28" i="46"/>
  <c r="P108" i="46"/>
  <c r="P148" i="46"/>
  <c r="P168" i="46"/>
  <c r="P188" i="46"/>
  <c r="P208" i="46"/>
  <c r="P228" i="46"/>
  <c r="P248" i="46"/>
  <c r="P268" i="46"/>
  <c r="P288" i="46"/>
  <c r="P308" i="46"/>
  <c r="P328" i="46"/>
  <c r="P15" i="46"/>
  <c r="P35" i="46"/>
  <c r="P55" i="46"/>
  <c r="P95" i="46"/>
  <c r="P115" i="46"/>
  <c r="P155" i="46"/>
  <c r="P215" i="46"/>
  <c r="P235" i="46"/>
  <c r="P22" i="46"/>
  <c r="P42" i="46"/>
  <c r="P102" i="46"/>
  <c r="P142" i="46"/>
  <c r="P162" i="46"/>
  <c r="P182" i="46"/>
  <c r="P202" i="46"/>
  <c r="P222" i="46"/>
  <c r="P262" i="46"/>
  <c r="P282" i="46"/>
  <c r="P29" i="46"/>
  <c r="P49" i="46"/>
  <c r="P109" i="46"/>
  <c r="P249" i="46"/>
  <c r="P17" i="46"/>
  <c r="P37" i="46"/>
  <c r="P57" i="46"/>
  <c r="P77" i="46"/>
  <c r="P97" i="46"/>
  <c r="P117" i="46"/>
  <c r="P137" i="46"/>
  <c r="P157" i="46"/>
  <c r="P177" i="46"/>
  <c r="P197" i="46"/>
  <c r="P217" i="46"/>
  <c r="P237" i="46"/>
  <c r="P257" i="46"/>
  <c r="P277" i="46"/>
  <c r="P297" i="46"/>
  <c r="P317" i="46"/>
  <c r="Q2081" i="42"/>
  <c r="Q2082" i="42"/>
  <c r="P884" i="38"/>
  <c r="Q884" i="38" s="1"/>
  <c r="P887" i="38"/>
  <c r="Q887" i="38" s="1"/>
  <c r="P886" i="38"/>
  <c r="Q886" i="38" s="1"/>
  <c r="P885" i="38"/>
  <c r="Q885" i="38" s="1"/>
  <c r="P882" i="38"/>
  <c r="Q882" i="38" s="1"/>
  <c r="P900" i="38"/>
  <c r="Q900" i="38" s="1"/>
  <c r="P899" i="38"/>
  <c r="Q899" i="38" s="1"/>
  <c r="P898" i="38"/>
  <c r="Q898" i="38" s="1"/>
  <c r="P897" i="38"/>
  <c r="Q897" i="38" s="1"/>
  <c r="P896" i="38"/>
  <c r="Q896" i="38" s="1"/>
  <c r="P895" i="38"/>
  <c r="Q895" i="38" s="1"/>
  <c r="P894" i="38"/>
  <c r="Q894" i="38" s="1"/>
  <c r="P893" i="38"/>
  <c r="Q893" i="38" s="1"/>
  <c r="P892" i="38"/>
  <c r="Q892" i="38" s="1"/>
  <c r="P891" i="38"/>
  <c r="Q891" i="38" s="1"/>
  <c r="P890" i="38"/>
  <c r="Q890" i="38" s="1"/>
  <c r="P889" i="38"/>
  <c r="Q889" i="38" s="1"/>
  <c r="P888" i="38"/>
  <c r="Q888" i="38" s="1"/>
  <c r="P883" i="38"/>
  <c r="Q883" i="38" s="1"/>
  <c r="P881" i="38"/>
  <c r="Q881" i="38" s="1"/>
  <c r="P362" i="46"/>
  <c r="P357" i="46"/>
  <c r="P352" i="46"/>
  <c r="P310" i="46"/>
  <c r="P350" i="46"/>
  <c r="P315" i="46"/>
  <c r="L369" i="46"/>
  <c r="I375" i="46"/>
  <c r="P340" i="46"/>
  <c r="P345" i="46"/>
  <c r="P335" i="46"/>
  <c r="P320" i="46"/>
  <c r="P325" i="46"/>
  <c r="I374" i="46"/>
  <c r="I376" i="46"/>
  <c r="P355" i="46"/>
  <c r="H2128" i="42"/>
  <c r="P2002" i="42"/>
  <c r="P2003" i="42"/>
  <c r="P2004" i="42"/>
  <c r="P2005" i="42"/>
  <c r="P2006" i="42"/>
  <c r="P2007" i="42"/>
  <c r="P2008" i="42"/>
  <c r="P2009" i="42"/>
  <c r="P2010" i="42"/>
  <c r="P2011" i="42"/>
  <c r="P2012" i="42"/>
  <c r="P2013" i="42"/>
  <c r="P2014" i="42"/>
  <c r="P2015" i="42"/>
  <c r="P2016" i="42"/>
  <c r="P2017" i="42"/>
  <c r="P2018" i="42"/>
  <c r="P2019" i="42"/>
  <c r="P2020" i="42"/>
  <c r="P2021" i="42"/>
  <c r="P2022" i="42"/>
  <c r="P2023" i="42"/>
  <c r="P2024" i="42"/>
  <c r="P2025" i="42"/>
  <c r="P2026" i="42"/>
  <c r="P2027" i="42"/>
  <c r="P2028" i="42"/>
  <c r="P1971" i="42"/>
  <c r="P1972" i="42"/>
  <c r="P1973" i="42"/>
  <c r="P1974" i="42"/>
  <c r="P1975" i="42"/>
  <c r="P1976" i="42"/>
  <c r="P1977" i="42"/>
  <c r="P1978" i="42"/>
  <c r="P1979" i="42"/>
  <c r="P1980" i="42"/>
  <c r="P1981" i="42"/>
  <c r="P1982" i="42"/>
  <c r="P1983" i="42"/>
  <c r="P1984" i="42"/>
  <c r="P1985" i="42"/>
  <c r="P1986" i="42"/>
  <c r="P1987" i="42"/>
  <c r="P1988" i="42"/>
  <c r="P1989" i="42"/>
  <c r="P1990" i="42"/>
  <c r="P1991" i="42"/>
  <c r="P2029" i="42"/>
  <c r="P2030" i="42"/>
  <c r="P2031" i="42"/>
  <c r="P2032" i="42"/>
  <c r="P2033" i="42"/>
  <c r="P2034" i="42"/>
  <c r="P2035" i="42"/>
  <c r="P2036" i="42"/>
  <c r="P1969" i="42"/>
  <c r="P1970" i="42"/>
  <c r="P1864" i="42"/>
  <c r="P1865" i="42"/>
  <c r="P1866" i="42"/>
  <c r="P1937" i="42"/>
  <c r="P1938" i="42"/>
  <c r="P1939" i="42"/>
  <c r="P1940" i="42"/>
  <c r="P1941" i="42"/>
  <c r="P1935" i="42"/>
  <c r="P1936" i="42"/>
  <c r="P1857" i="42"/>
  <c r="P1858" i="42"/>
  <c r="P1859" i="42"/>
  <c r="P1860" i="42"/>
  <c r="P1861" i="42"/>
  <c r="P1862" i="42"/>
  <c r="P1863" i="42"/>
  <c r="P1996" i="42"/>
  <c r="P1997" i="42"/>
  <c r="P1998" i="42"/>
  <c r="P1999" i="42"/>
  <c r="P2000" i="42"/>
  <c r="P1867" i="42"/>
  <c r="P1868" i="42"/>
  <c r="P1869" i="42"/>
  <c r="P1870" i="42"/>
  <c r="P1871" i="42"/>
  <c r="P1872" i="42"/>
  <c r="P1873" i="42"/>
  <c r="P1874" i="42"/>
  <c r="P1875" i="42"/>
  <c r="P1876" i="42"/>
  <c r="P1877" i="42"/>
  <c r="P1878" i="42"/>
  <c r="P1879" i="42"/>
  <c r="P1880" i="42"/>
  <c r="P1881" i="42"/>
  <c r="P1882" i="42"/>
  <c r="P1883" i="42"/>
  <c r="P1884" i="42"/>
  <c r="P1885" i="42"/>
  <c r="P1886" i="42"/>
  <c r="P1887" i="42"/>
  <c r="P1888" i="42"/>
  <c r="P1889" i="42"/>
  <c r="P1890" i="42"/>
  <c r="P1891" i="42"/>
  <c r="P1892" i="42"/>
  <c r="P1893" i="42"/>
  <c r="P1894" i="42"/>
  <c r="P1895" i="42"/>
  <c r="P1896" i="42"/>
  <c r="P1897" i="42"/>
  <c r="P1898" i="42"/>
  <c r="P1899" i="42"/>
  <c r="P1900" i="42"/>
  <c r="P1901" i="42"/>
  <c r="P1902" i="42"/>
  <c r="P1903" i="42"/>
  <c r="P1904" i="42"/>
  <c r="P1905" i="42"/>
  <c r="P1906" i="42"/>
  <c r="P1907" i="42"/>
  <c r="P1908" i="42"/>
  <c r="P1909" i="42"/>
  <c r="P1910" i="42"/>
  <c r="P1911" i="42"/>
  <c r="P1912" i="42"/>
  <c r="P1913" i="42"/>
  <c r="P1914" i="42"/>
  <c r="P1915" i="42"/>
  <c r="P1916" i="42"/>
  <c r="P1917" i="42"/>
  <c r="P1918" i="42"/>
  <c r="P1919" i="42"/>
  <c r="P1920" i="42"/>
  <c r="P1921" i="42"/>
  <c r="P1922" i="42"/>
  <c r="P1923" i="42"/>
  <c r="P1924" i="42"/>
  <c r="P1925" i="42"/>
  <c r="P1926" i="42"/>
  <c r="P1927" i="42"/>
  <c r="P1928" i="42"/>
  <c r="P1929" i="42"/>
  <c r="P1930" i="42"/>
  <c r="P1931" i="42"/>
  <c r="P1932" i="42"/>
  <c r="P1933" i="42"/>
  <c r="P1934" i="42"/>
  <c r="P1948" i="42"/>
  <c r="P1949" i="42"/>
  <c r="P1950" i="42"/>
  <c r="P1951" i="42"/>
  <c r="P1952" i="42"/>
  <c r="P1953" i="42"/>
  <c r="P1954" i="42"/>
  <c r="P1955" i="42"/>
  <c r="P1956" i="42"/>
  <c r="P1957" i="42"/>
  <c r="P1958" i="42"/>
  <c r="P1959" i="42"/>
  <c r="P1960" i="42"/>
  <c r="P1961" i="42"/>
  <c r="P1962" i="42"/>
  <c r="P1963" i="42"/>
  <c r="P1964" i="42"/>
  <c r="P1965" i="42"/>
  <c r="P1966" i="42"/>
  <c r="P1967" i="42"/>
  <c r="P1968" i="42"/>
  <c r="P1992" i="42"/>
  <c r="P1993" i="42"/>
  <c r="P1994" i="42"/>
  <c r="P1995" i="42"/>
  <c r="P2037" i="42"/>
  <c r="P2038" i="42"/>
  <c r="P2039" i="42"/>
  <c r="P2040" i="42"/>
  <c r="P2041" i="42"/>
  <c r="P2042" i="42"/>
  <c r="P2043" i="42"/>
  <c r="P2044" i="42"/>
  <c r="P2045" i="42"/>
  <c r="P2046" i="42"/>
  <c r="P2047" i="42"/>
  <c r="P2048" i="42"/>
  <c r="P2049" i="42"/>
  <c r="P2050" i="42"/>
  <c r="P2051" i="42"/>
  <c r="P2052" i="42"/>
  <c r="P2053" i="42"/>
  <c r="P2054" i="42"/>
  <c r="P2055" i="42"/>
  <c r="P2056" i="42"/>
  <c r="P2057" i="42"/>
  <c r="P2058" i="42"/>
  <c r="P2059" i="42"/>
  <c r="P2060" i="42"/>
  <c r="P2061" i="42"/>
  <c r="P2062" i="42"/>
  <c r="P2063" i="42"/>
  <c r="P2064" i="42"/>
  <c r="P2065" i="42"/>
  <c r="P2066" i="42"/>
  <c r="P2067" i="42"/>
  <c r="P2068" i="42"/>
  <c r="P2069" i="42"/>
  <c r="P2070" i="42"/>
  <c r="P2071" i="42"/>
  <c r="P2072" i="42"/>
  <c r="P2073" i="42"/>
  <c r="P2074" i="42"/>
  <c r="P2075" i="42"/>
  <c r="P2076" i="42"/>
  <c r="P2077" i="42"/>
  <c r="P2078" i="42"/>
  <c r="P2079" i="42"/>
  <c r="P1942" i="42"/>
  <c r="P1943" i="42"/>
  <c r="P1944" i="42"/>
  <c r="P1945" i="42"/>
  <c r="P1946" i="42"/>
  <c r="P1947" i="42"/>
  <c r="P1846" i="42"/>
  <c r="P1847" i="42"/>
  <c r="P1848" i="42"/>
  <c r="P1849" i="42"/>
  <c r="P1850" i="42"/>
  <c r="P1851" i="42"/>
  <c r="P1852" i="42"/>
  <c r="P1844" i="42"/>
  <c r="P1845" i="42"/>
  <c r="P1843" i="42"/>
  <c r="P1842" i="42"/>
  <c r="O2001" i="42"/>
  <c r="O2002" i="42"/>
  <c r="O2003" i="42"/>
  <c r="O2004" i="42"/>
  <c r="O2005" i="42"/>
  <c r="O2006" i="42"/>
  <c r="O2007" i="42"/>
  <c r="O2008" i="42"/>
  <c r="O2009" i="42"/>
  <c r="O2010" i="42"/>
  <c r="O2011" i="42"/>
  <c r="O2012" i="42"/>
  <c r="O2013" i="42"/>
  <c r="O2014" i="42"/>
  <c r="O2015" i="42"/>
  <c r="O2016" i="42"/>
  <c r="O2017" i="42"/>
  <c r="O2018" i="42"/>
  <c r="O2019" i="42"/>
  <c r="O2020" i="42"/>
  <c r="O2021" i="42"/>
  <c r="O2022" i="42"/>
  <c r="O2023" i="42"/>
  <c r="O2024" i="42"/>
  <c r="O2025" i="42"/>
  <c r="O2026" i="42"/>
  <c r="O2027" i="42"/>
  <c r="O2028" i="42"/>
  <c r="O1971" i="42"/>
  <c r="O1972" i="42"/>
  <c r="O1973" i="42"/>
  <c r="O1974" i="42"/>
  <c r="O1975" i="42"/>
  <c r="O1976" i="42"/>
  <c r="O1977" i="42"/>
  <c r="O1978" i="42"/>
  <c r="O1979" i="42"/>
  <c r="O1980" i="42"/>
  <c r="O1981" i="42"/>
  <c r="O1982" i="42"/>
  <c r="O1983" i="42"/>
  <c r="O1984" i="42"/>
  <c r="O1985" i="42"/>
  <c r="O1986" i="42"/>
  <c r="O1987" i="42"/>
  <c r="O1988" i="42"/>
  <c r="O1989" i="42"/>
  <c r="O1990" i="42"/>
  <c r="O1991" i="42"/>
  <c r="O2029" i="42"/>
  <c r="O2030" i="42"/>
  <c r="O2031" i="42"/>
  <c r="O2032" i="42"/>
  <c r="O2033" i="42"/>
  <c r="O2034" i="42"/>
  <c r="O2035" i="42"/>
  <c r="O2036" i="42"/>
  <c r="O1969" i="42"/>
  <c r="O1970" i="42"/>
  <c r="O1864" i="42"/>
  <c r="O1865" i="42"/>
  <c r="O1866" i="42"/>
  <c r="O1937" i="42"/>
  <c r="O1938" i="42"/>
  <c r="O1939" i="42"/>
  <c r="O1940" i="42"/>
  <c r="O1941" i="42"/>
  <c r="O1935" i="42"/>
  <c r="O1936" i="42"/>
  <c r="O1857" i="42"/>
  <c r="O1858" i="42"/>
  <c r="O1859" i="42"/>
  <c r="O1860" i="42"/>
  <c r="O1861" i="42"/>
  <c r="O1862" i="42"/>
  <c r="O1863" i="42"/>
  <c r="O1996" i="42"/>
  <c r="O1997" i="42"/>
  <c r="O1998" i="42"/>
  <c r="O1999" i="42"/>
  <c r="O2000" i="42"/>
  <c r="O1867" i="42"/>
  <c r="O1868" i="42"/>
  <c r="O1869" i="42"/>
  <c r="O1870" i="42"/>
  <c r="O1871" i="42"/>
  <c r="O1872" i="42"/>
  <c r="O1873" i="42"/>
  <c r="O1874" i="42"/>
  <c r="O1875" i="42"/>
  <c r="O1876" i="42"/>
  <c r="O1877" i="42"/>
  <c r="O1878" i="42"/>
  <c r="O1879" i="42"/>
  <c r="O1880" i="42"/>
  <c r="O1881" i="42"/>
  <c r="O1882" i="42"/>
  <c r="O1883" i="42"/>
  <c r="O1884" i="42"/>
  <c r="O1885" i="42"/>
  <c r="O1886" i="42"/>
  <c r="O1887" i="42"/>
  <c r="O1888" i="42"/>
  <c r="O1889" i="42"/>
  <c r="O1890" i="42"/>
  <c r="O1891" i="42"/>
  <c r="O1892" i="42"/>
  <c r="O1893" i="42"/>
  <c r="O1894" i="42"/>
  <c r="O1895" i="42"/>
  <c r="O1896" i="42"/>
  <c r="O1897" i="42"/>
  <c r="O1898" i="42"/>
  <c r="O1899" i="42"/>
  <c r="O1900" i="42"/>
  <c r="O1901" i="42"/>
  <c r="O1902" i="42"/>
  <c r="O1903" i="42"/>
  <c r="O1904" i="42"/>
  <c r="O1905" i="42"/>
  <c r="O1906" i="42"/>
  <c r="O1907" i="42"/>
  <c r="O1908" i="42"/>
  <c r="O1909" i="42"/>
  <c r="O1910" i="42"/>
  <c r="O1911" i="42"/>
  <c r="O1912" i="42"/>
  <c r="O1913" i="42"/>
  <c r="O1914" i="42"/>
  <c r="O1915" i="42"/>
  <c r="O1916" i="42"/>
  <c r="O1917" i="42"/>
  <c r="O1918" i="42"/>
  <c r="O1919" i="42"/>
  <c r="O1920" i="42"/>
  <c r="O1921" i="42"/>
  <c r="O1922" i="42"/>
  <c r="O1923" i="42"/>
  <c r="O1924" i="42"/>
  <c r="O1925" i="42"/>
  <c r="O1926" i="42"/>
  <c r="O1927" i="42"/>
  <c r="O1928" i="42"/>
  <c r="O1929" i="42"/>
  <c r="O1930" i="42"/>
  <c r="O1931" i="42"/>
  <c r="O1932" i="42"/>
  <c r="O1933" i="42"/>
  <c r="O1934" i="42"/>
  <c r="O1948" i="42"/>
  <c r="O1949" i="42"/>
  <c r="O1950" i="42"/>
  <c r="O1951" i="42"/>
  <c r="O1952" i="42"/>
  <c r="O1953" i="42"/>
  <c r="O1954" i="42"/>
  <c r="O1955" i="42"/>
  <c r="O1956" i="42"/>
  <c r="O1957" i="42"/>
  <c r="O1958" i="42"/>
  <c r="O1959" i="42"/>
  <c r="O1960" i="42"/>
  <c r="O1961" i="42"/>
  <c r="O1962" i="42"/>
  <c r="O1963" i="42"/>
  <c r="O1964" i="42"/>
  <c r="O1965" i="42"/>
  <c r="O1966" i="42"/>
  <c r="O1967" i="42"/>
  <c r="O1968" i="42"/>
  <c r="O1992" i="42"/>
  <c r="O1993" i="42"/>
  <c r="O1994" i="42"/>
  <c r="O1995" i="42"/>
  <c r="O2037" i="42"/>
  <c r="O2038" i="42"/>
  <c r="O2039" i="42"/>
  <c r="O2040" i="42"/>
  <c r="O2041" i="42"/>
  <c r="O2042" i="42"/>
  <c r="O2043" i="42"/>
  <c r="O2044" i="42"/>
  <c r="O2045" i="42"/>
  <c r="O2046" i="42"/>
  <c r="O2047" i="42"/>
  <c r="O2048" i="42"/>
  <c r="O2049" i="42"/>
  <c r="O2050" i="42"/>
  <c r="O2051" i="42"/>
  <c r="O2052" i="42"/>
  <c r="O2053" i="42"/>
  <c r="O2054" i="42"/>
  <c r="O2055" i="42"/>
  <c r="O2056" i="42"/>
  <c r="O2057" i="42"/>
  <c r="O2058" i="42"/>
  <c r="O2059" i="42"/>
  <c r="O2060" i="42"/>
  <c r="O2061" i="42"/>
  <c r="O2062" i="42"/>
  <c r="O2063" i="42"/>
  <c r="O2064" i="42"/>
  <c r="O2065" i="42"/>
  <c r="O2066" i="42"/>
  <c r="O2067" i="42"/>
  <c r="O2068" i="42"/>
  <c r="O2069" i="42"/>
  <c r="O2070" i="42"/>
  <c r="O2071" i="42"/>
  <c r="O2072" i="42"/>
  <c r="O2073" i="42"/>
  <c r="O2074" i="42"/>
  <c r="O2075" i="42"/>
  <c r="O2076" i="42"/>
  <c r="O2077" i="42"/>
  <c r="O2078" i="42"/>
  <c r="O2079" i="42"/>
  <c r="O1942" i="42"/>
  <c r="O1943" i="42"/>
  <c r="O1944" i="42"/>
  <c r="O1945" i="42"/>
  <c r="O1946" i="42"/>
  <c r="O1947" i="42"/>
  <c r="O1846" i="42"/>
  <c r="O1847" i="42"/>
  <c r="O1848" i="42"/>
  <c r="O1849" i="42"/>
  <c r="O1850" i="42"/>
  <c r="O1851" i="42"/>
  <c r="O1852" i="42"/>
  <c r="O1844" i="42"/>
  <c r="O1845" i="42"/>
  <c r="O1843" i="42"/>
  <c r="O1842" i="42"/>
  <c r="M1846" i="42"/>
  <c r="M1847" i="42"/>
  <c r="M1848" i="42"/>
  <c r="M1849" i="42"/>
  <c r="M1850" i="42"/>
  <c r="M1851" i="42"/>
  <c r="M1852" i="42"/>
  <c r="M1844" i="42"/>
  <c r="M1845" i="42"/>
  <c r="M1843" i="42"/>
  <c r="M1842" i="42"/>
  <c r="M2002" i="42"/>
  <c r="M2003" i="42"/>
  <c r="M2004" i="42"/>
  <c r="M2005" i="42"/>
  <c r="M2006" i="42"/>
  <c r="M2007" i="42"/>
  <c r="M2008" i="42"/>
  <c r="M2009" i="42"/>
  <c r="M2010" i="42"/>
  <c r="M2011" i="42"/>
  <c r="M2012" i="42"/>
  <c r="M2013" i="42"/>
  <c r="M2014" i="42"/>
  <c r="M2015" i="42"/>
  <c r="M2016" i="42"/>
  <c r="M2017" i="42"/>
  <c r="M2018" i="42"/>
  <c r="M2019" i="42"/>
  <c r="M2020" i="42"/>
  <c r="M2021" i="42"/>
  <c r="M2022" i="42"/>
  <c r="M2023" i="42"/>
  <c r="M2024" i="42"/>
  <c r="M2025" i="42"/>
  <c r="M2026" i="42"/>
  <c r="M2027" i="42"/>
  <c r="M2028" i="42"/>
  <c r="M1971" i="42"/>
  <c r="M1972" i="42"/>
  <c r="M1973" i="42"/>
  <c r="M1974" i="42"/>
  <c r="M1975" i="42"/>
  <c r="M1976" i="42"/>
  <c r="M1977" i="42"/>
  <c r="M1978" i="42"/>
  <c r="M1979" i="42"/>
  <c r="M1980" i="42"/>
  <c r="M1981" i="42"/>
  <c r="M1982" i="42"/>
  <c r="M1983" i="42"/>
  <c r="M1984" i="42"/>
  <c r="M1985" i="42"/>
  <c r="M1986" i="42"/>
  <c r="M1987" i="42"/>
  <c r="M1988" i="42"/>
  <c r="M1989" i="42"/>
  <c r="M1990" i="42"/>
  <c r="M1991" i="42"/>
  <c r="M2029" i="42"/>
  <c r="M2030" i="42"/>
  <c r="M2031" i="42"/>
  <c r="M2032" i="42"/>
  <c r="M2033" i="42"/>
  <c r="M2034" i="42"/>
  <c r="M2035" i="42"/>
  <c r="M2036" i="42"/>
  <c r="M1969" i="42"/>
  <c r="M1970" i="42"/>
  <c r="M1864" i="42"/>
  <c r="M1865" i="42"/>
  <c r="M1866" i="42"/>
  <c r="M1937" i="42"/>
  <c r="M1938" i="42"/>
  <c r="M1939" i="42"/>
  <c r="M1940" i="42"/>
  <c r="M1941" i="42"/>
  <c r="M1935" i="42"/>
  <c r="M1936" i="42"/>
  <c r="M1857" i="42"/>
  <c r="M1858" i="42"/>
  <c r="M1859" i="42"/>
  <c r="M1860" i="42"/>
  <c r="M1861" i="42"/>
  <c r="M1862" i="42"/>
  <c r="M1863" i="42"/>
  <c r="M1996" i="42"/>
  <c r="M1997" i="42"/>
  <c r="M1998" i="42"/>
  <c r="M1999" i="42"/>
  <c r="M2000" i="42"/>
  <c r="M1867" i="42"/>
  <c r="M1868" i="42"/>
  <c r="M1869" i="42"/>
  <c r="M1870" i="42"/>
  <c r="M1871" i="42"/>
  <c r="M1872" i="42"/>
  <c r="M1873" i="42"/>
  <c r="M1874" i="42"/>
  <c r="M1875" i="42"/>
  <c r="M1876" i="42"/>
  <c r="M1877" i="42"/>
  <c r="M1878" i="42"/>
  <c r="M1879" i="42"/>
  <c r="M1880" i="42"/>
  <c r="M1881" i="42"/>
  <c r="M1882" i="42"/>
  <c r="M1883" i="42"/>
  <c r="M1884" i="42"/>
  <c r="M1885" i="42"/>
  <c r="M1886" i="42"/>
  <c r="M1887" i="42"/>
  <c r="M1888" i="42"/>
  <c r="M1889" i="42"/>
  <c r="M1890" i="42"/>
  <c r="M1891" i="42"/>
  <c r="M1892" i="42"/>
  <c r="M1893" i="42"/>
  <c r="M1894" i="42"/>
  <c r="M1895" i="42"/>
  <c r="M1896" i="42"/>
  <c r="M1897" i="42"/>
  <c r="M1898" i="42"/>
  <c r="M1899" i="42"/>
  <c r="M1900" i="42"/>
  <c r="M1901" i="42"/>
  <c r="M1902" i="42"/>
  <c r="M1903" i="42"/>
  <c r="M1904" i="42"/>
  <c r="M1905" i="42"/>
  <c r="M1906" i="42"/>
  <c r="M1907" i="42"/>
  <c r="M1908" i="42"/>
  <c r="M1909" i="42"/>
  <c r="M1910" i="42"/>
  <c r="M1911" i="42"/>
  <c r="M1912" i="42"/>
  <c r="M1913" i="42"/>
  <c r="M1914" i="42"/>
  <c r="M1915" i="42"/>
  <c r="M1916" i="42"/>
  <c r="M1917" i="42"/>
  <c r="M1918" i="42"/>
  <c r="M1919" i="42"/>
  <c r="M1920" i="42"/>
  <c r="M1921" i="42"/>
  <c r="M1922" i="42"/>
  <c r="M1923" i="42"/>
  <c r="M1924" i="42"/>
  <c r="M1925" i="42"/>
  <c r="M1926" i="42"/>
  <c r="M1927" i="42"/>
  <c r="M1928" i="42"/>
  <c r="M1929" i="42"/>
  <c r="M1930" i="42"/>
  <c r="M1931" i="42"/>
  <c r="M1932" i="42"/>
  <c r="M1933" i="42"/>
  <c r="M1934" i="42"/>
  <c r="M1948" i="42"/>
  <c r="M1949" i="42"/>
  <c r="M1950" i="42"/>
  <c r="M1951" i="42"/>
  <c r="M1952" i="42"/>
  <c r="M1953" i="42"/>
  <c r="M1954" i="42"/>
  <c r="M1955" i="42"/>
  <c r="M1956" i="42"/>
  <c r="M1957" i="42"/>
  <c r="M1958" i="42"/>
  <c r="M1959" i="42"/>
  <c r="M1960" i="42"/>
  <c r="M1961" i="42"/>
  <c r="M1962" i="42"/>
  <c r="M1963" i="42"/>
  <c r="M1964" i="42"/>
  <c r="M1965" i="42"/>
  <c r="M1966" i="42"/>
  <c r="M1967" i="42"/>
  <c r="M1968" i="42"/>
  <c r="M1992" i="42"/>
  <c r="M1993" i="42"/>
  <c r="M1994" i="42"/>
  <c r="M1995" i="42"/>
  <c r="M2037" i="42"/>
  <c r="M2038" i="42"/>
  <c r="M2039" i="42"/>
  <c r="M2040" i="42"/>
  <c r="M2041" i="42"/>
  <c r="M2042" i="42"/>
  <c r="M2043" i="42"/>
  <c r="M2044" i="42"/>
  <c r="M2045" i="42"/>
  <c r="M2046" i="42"/>
  <c r="M2047" i="42"/>
  <c r="M2048" i="42"/>
  <c r="M2049" i="42"/>
  <c r="M2050" i="42"/>
  <c r="M2051" i="42"/>
  <c r="M2052" i="42"/>
  <c r="M2053" i="42"/>
  <c r="M2054" i="42"/>
  <c r="M2055" i="42"/>
  <c r="M2056" i="42"/>
  <c r="M2057" i="42"/>
  <c r="M2058" i="42"/>
  <c r="M2059" i="42"/>
  <c r="M2060" i="42"/>
  <c r="M2061" i="42"/>
  <c r="M2062" i="42"/>
  <c r="M2063" i="42"/>
  <c r="M2064" i="42"/>
  <c r="M2065" i="42"/>
  <c r="M2066" i="42"/>
  <c r="M2067" i="42"/>
  <c r="M2068" i="42"/>
  <c r="M2069" i="42"/>
  <c r="M2070" i="42"/>
  <c r="M2071" i="42"/>
  <c r="M2072" i="42"/>
  <c r="M2073" i="42"/>
  <c r="M2074" i="42"/>
  <c r="M2075" i="42"/>
  <c r="M2076" i="42"/>
  <c r="M2077" i="42"/>
  <c r="M2078" i="42"/>
  <c r="M2079" i="42"/>
  <c r="M1942" i="42"/>
  <c r="M1943" i="42"/>
  <c r="M1944" i="42"/>
  <c r="M1945" i="42"/>
  <c r="M1946" i="42"/>
  <c r="M1947" i="42"/>
  <c r="M2001" i="42"/>
  <c r="P2001" i="42"/>
  <c r="I2130" i="42" l="1"/>
  <c r="R2082" i="42"/>
  <c r="R2081" i="42"/>
  <c r="Q2079" i="42"/>
  <c r="Q2059" i="42"/>
  <c r="Q2039" i="42"/>
  <c r="Q1942" i="42"/>
  <c r="Q2040" i="42"/>
  <c r="Q1956" i="42"/>
  <c r="Q1923" i="42"/>
  <c r="Q1903" i="42"/>
  <c r="Q1883" i="42"/>
  <c r="Q1997" i="42"/>
  <c r="Q1969" i="42"/>
  <c r="Q1980" i="42"/>
  <c r="Q1945" i="42"/>
  <c r="Q2063" i="42"/>
  <c r="Q1926" i="42"/>
  <c r="Q1906" i="42"/>
  <c r="Q2000" i="42"/>
  <c r="Q2062" i="42"/>
  <c r="Q1885" i="42"/>
  <c r="Q1982" i="42"/>
  <c r="Q1944" i="42"/>
  <c r="Q2042" i="42"/>
  <c r="Q1958" i="42"/>
  <c r="Q1925" i="42"/>
  <c r="Q1905" i="42"/>
  <c r="Q1999" i="42"/>
  <c r="Q1864" i="42"/>
  <c r="Q1943" i="42"/>
  <c r="Q2061" i="42"/>
  <c r="Q2041" i="42"/>
  <c r="Q1957" i="42"/>
  <c r="Q1924" i="42"/>
  <c r="Q1904" i="42"/>
  <c r="Q1884" i="42"/>
  <c r="Q1998" i="42"/>
  <c r="Q1970" i="42"/>
  <c r="Q1981" i="42"/>
  <c r="Q2018" i="42"/>
  <c r="Q1902" i="42"/>
  <c r="Q1922" i="42"/>
  <c r="Q1955" i="42"/>
  <c r="Q1882" i="42"/>
  <c r="Q1996" i="42"/>
  <c r="Q2036" i="42"/>
  <c r="Q2078" i="42"/>
  <c r="Q2038" i="42"/>
  <c r="Q2016" i="42"/>
  <c r="Q2058" i="42"/>
  <c r="Q1954" i="42"/>
  <c r="Q1921" i="42"/>
  <c r="Q1901" i="42"/>
  <c r="Q1881" i="42"/>
  <c r="Q1978" i="42"/>
  <c r="Q2077" i="42"/>
  <c r="Q2057" i="42"/>
  <c r="Q2037" i="42"/>
  <c r="Q1953" i="42"/>
  <c r="Q1920" i="42"/>
  <c r="Q1900" i="42"/>
  <c r="Q1880" i="42"/>
  <c r="Q1862" i="42"/>
  <c r="Q2034" i="42"/>
  <c r="Q2035" i="42"/>
  <c r="Q1843" i="42"/>
  <c r="Q2055" i="42"/>
  <c r="Q1994" i="42"/>
  <c r="Q1918" i="42"/>
  <c r="Q1878" i="42"/>
  <c r="Q2075" i="42"/>
  <c r="Q1898" i="42"/>
  <c r="Q1842" i="42"/>
  <c r="Q2076" i="42"/>
  <c r="Q2056" i="42"/>
  <c r="Q1995" i="42"/>
  <c r="Q1952" i="42"/>
  <c r="Q1919" i="42"/>
  <c r="Q1899" i="42"/>
  <c r="Q1879" i="42"/>
  <c r="Q1861" i="42"/>
  <c r="Q2033" i="42"/>
  <c r="Q1979" i="42"/>
  <c r="Q1860" i="42"/>
  <c r="Q2032" i="42"/>
  <c r="Q1975" i="42"/>
  <c r="Q2013" i="42"/>
  <c r="Q1908" i="42"/>
  <c r="Q1983" i="42"/>
  <c r="Q2020" i="42"/>
  <c r="Q2019" i="42"/>
  <c r="Q2060" i="42"/>
  <c r="Q2017" i="42"/>
  <c r="Q1977" i="42"/>
  <c r="Q1976" i="42"/>
  <c r="Q2068" i="42"/>
  <c r="Q1931" i="42"/>
  <c r="Q1911" i="42"/>
  <c r="Q2067" i="42"/>
  <c r="Q1930" i="42"/>
  <c r="Q1910" i="42"/>
  <c r="Q1909" i="42"/>
  <c r="Q2066" i="42"/>
  <c r="Q1929" i="42"/>
  <c r="Q2001" i="42"/>
  <c r="Q1947" i="42"/>
  <c r="Q2065" i="42"/>
  <c r="Q1928" i="42"/>
  <c r="Q1937" i="42"/>
  <c r="Q2015" i="42"/>
  <c r="Q2014" i="42"/>
  <c r="Q1988" i="42"/>
  <c r="Q1987" i="42"/>
  <c r="Q1986" i="42"/>
  <c r="Q1985" i="42"/>
  <c r="Q1946" i="42"/>
  <c r="P369" i="46"/>
  <c r="I377" i="46"/>
  <c r="Q1940" i="42"/>
  <c r="Q1939" i="42"/>
  <c r="Q1938" i="42"/>
  <c r="Q1848" i="42"/>
  <c r="Q1847" i="42"/>
  <c r="Q1846" i="42"/>
  <c r="Q2047" i="42"/>
  <c r="Q2046" i="42"/>
  <c r="Q2048" i="42"/>
  <c r="Q2045" i="42"/>
  <c r="Q2043" i="42"/>
  <c r="Q1951" i="42"/>
  <c r="Q1964" i="42"/>
  <c r="Q1962" i="42"/>
  <c r="Q1963" i="42"/>
  <c r="Q1961" i="42"/>
  <c r="Q1959" i="42"/>
  <c r="Q1891" i="42"/>
  <c r="Q1871" i="42"/>
  <c r="Q1870" i="42"/>
  <c r="Q1889" i="42"/>
  <c r="Q1869" i="42"/>
  <c r="Q1888" i="42"/>
  <c r="Q1868" i="42"/>
  <c r="Q1890" i="42"/>
  <c r="Q1886" i="42"/>
  <c r="Q1865" i="42"/>
  <c r="Q1863" i="42"/>
  <c r="Q2026" i="42"/>
  <c r="Q2006" i="42"/>
  <c r="Q2025" i="42"/>
  <c r="Q2005" i="42"/>
  <c r="Q2024" i="42"/>
  <c r="Q2004" i="42"/>
  <c r="Q2023" i="42"/>
  <c r="Q2003" i="42"/>
  <c r="Q2021" i="42"/>
  <c r="Q2064" i="42"/>
  <c r="Q2044" i="42"/>
  <c r="Q1960" i="42"/>
  <c r="Q1927" i="42"/>
  <c r="Q1907" i="42"/>
  <c r="Q1887" i="42"/>
  <c r="Q1867" i="42"/>
  <c r="Q1866" i="42"/>
  <c r="Q1984" i="42"/>
  <c r="Q2022" i="42"/>
  <c r="Q2002" i="42"/>
  <c r="Q2054" i="42"/>
  <c r="Q1917" i="42"/>
  <c r="Q1877" i="42"/>
  <c r="Q1974" i="42"/>
  <c r="Q1844" i="42"/>
  <c r="Q1992" i="42"/>
  <c r="Q1916" i="42"/>
  <c r="Q1876" i="42"/>
  <c r="Q1973" i="42"/>
  <c r="Q2052" i="42"/>
  <c r="Q1948" i="42"/>
  <c r="Q1895" i="42"/>
  <c r="Q1857" i="42"/>
  <c r="Q1972" i="42"/>
  <c r="Q1851" i="42"/>
  <c r="Q2071" i="42"/>
  <c r="Q2051" i="42"/>
  <c r="Q1967" i="42"/>
  <c r="Q1934" i="42"/>
  <c r="Q1914" i="42"/>
  <c r="Q1894" i="42"/>
  <c r="Q1874" i="42"/>
  <c r="Q1936" i="42"/>
  <c r="Q1991" i="42"/>
  <c r="Q1971" i="42"/>
  <c r="Q2009" i="42"/>
  <c r="Q2074" i="42"/>
  <c r="Q1950" i="42"/>
  <c r="Q1897" i="42"/>
  <c r="Q1859" i="42"/>
  <c r="Q2012" i="42"/>
  <c r="Q2073" i="42"/>
  <c r="Q1949" i="42"/>
  <c r="Q1896" i="42"/>
  <c r="Q1858" i="42"/>
  <c r="Q2011" i="42"/>
  <c r="Q2072" i="42"/>
  <c r="Q1968" i="42"/>
  <c r="Q1915" i="42"/>
  <c r="Q1875" i="42"/>
  <c r="Q2029" i="42"/>
  <c r="Q2010" i="42"/>
  <c r="Q1850" i="42"/>
  <c r="Q2070" i="42"/>
  <c r="Q2050" i="42"/>
  <c r="Q1966" i="42"/>
  <c r="Q1933" i="42"/>
  <c r="Q1913" i="42"/>
  <c r="Q1893" i="42"/>
  <c r="Q1873" i="42"/>
  <c r="Q1935" i="42"/>
  <c r="Q1990" i="42"/>
  <c r="Q2028" i="42"/>
  <c r="Q2008" i="42"/>
  <c r="Q1845" i="42"/>
  <c r="Q1993" i="42"/>
  <c r="Q2031" i="42"/>
  <c r="Q2053" i="42"/>
  <c r="Q2030" i="42"/>
  <c r="Q1852" i="42"/>
  <c r="Q1849" i="42"/>
  <c r="Q2069" i="42"/>
  <c r="Q2049" i="42"/>
  <c r="Q1965" i="42"/>
  <c r="Q1932" i="42"/>
  <c r="Q1912" i="42"/>
  <c r="Q1892" i="42"/>
  <c r="Q1872" i="42"/>
  <c r="Q1941" i="42"/>
  <c r="Q1989" i="42"/>
  <c r="Q2027" i="42"/>
  <c r="Q2007" i="42"/>
  <c r="O757" i="38"/>
  <c r="O758" i="38"/>
  <c r="O759" i="38"/>
  <c r="O760" i="38"/>
  <c r="H919" i="38"/>
  <c r="R2037" i="42" l="1"/>
  <c r="R1948" i="42"/>
  <c r="R1873" i="42"/>
  <c r="R1970" i="42"/>
  <c r="R1980" i="42"/>
  <c r="R1960" i="42"/>
  <c r="R1871" i="42"/>
  <c r="R1891" i="42"/>
  <c r="R1976" i="42"/>
  <c r="R1876" i="42"/>
  <c r="R2017" i="42"/>
  <c r="R1912" i="42"/>
  <c r="R1883" i="42"/>
  <c r="R2040" i="42"/>
  <c r="R2007" i="42"/>
  <c r="R1926" i="42"/>
  <c r="R1978" i="42"/>
  <c r="R1950" i="42"/>
  <c r="R1963" i="42"/>
  <c r="R1992" i="42"/>
  <c r="R2075" i="42"/>
  <c r="R1951" i="42"/>
  <c r="R1877" i="42"/>
  <c r="R1925" i="42"/>
  <c r="R1895" i="42"/>
  <c r="R1931" i="42"/>
  <c r="R1946" i="42"/>
  <c r="R2021" i="42"/>
  <c r="R1986" i="42"/>
  <c r="R1916" i="42"/>
  <c r="R2004" i="42"/>
  <c r="R1954" i="42"/>
  <c r="R2005" i="42"/>
  <c r="R1918" i="42"/>
  <c r="R1958" i="42"/>
  <c r="R1990" i="42"/>
  <c r="R1935" i="42"/>
  <c r="R1995" i="42"/>
  <c r="R1973" i="42"/>
  <c r="R2076" i="42"/>
  <c r="R2023" i="42"/>
  <c r="R1988" i="42"/>
  <c r="R2024" i="42"/>
  <c r="R2020" i="42"/>
  <c r="R2043" i="42"/>
  <c r="R1928" i="42"/>
  <c r="R1929" i="42"/>
  <c r="R1989" i="42"/>
  <c r="R1884" i="42"/>
  <c r="R1893" i="42"/>
  <c r="R1985" i="42"/>
  <c r="R1924" i="42"/>
  <c r="R1901" i="42"/>
  <c r="R1966" i="42"/>
  <c r="R2060" i="42"/>
  <c r="R1971" i="42"/>
  <c r="R2061" i="42"/>
  <c r="R1974" i="42"/>
  <c r="R2015" i="42"/>
  <c r="R2049" i="42"/>
  <c r="R1864" i="42"/>
  <c r="R2006" i="42"/>
  <c r="R2038" i="42"/>
  <c r="R2054" i="42"/>
  <c r="R1905" i="42"/>
  <c r="R1875" i="42"/>
  <c r="R1947" i="42"/>
  <c r="R1915" i="42"/>
  <c r="R2039" i="42"/>
  <c r="R1967" i="42"/>
  <c r="R1846" i="42"/>
  <c r="R1860" i="42"/>
  <c r="R2031" i="42"/>
  <c r="R1890" i="42"/>
  <c r="R1847" i="42"/>
  <c r="R2066" i="42"/>
  <c r="R1979" i="42"/>
  <c r="R1862" i="42"/>
  <c r="R1955" i="42"/>
  <c r="R1944" i="42"/>
  <c r="R2079" i="42"/>
  <c r="R2073" i="42"/>
  <c r="R1906" i="42"/>
  <c r="R2044" i="42"/>
  <c r="R2063" i="42"/>
  <c r="R1959" i="42"/>
  <c r="R1913" i="42"/>
  <c r="R1881" i="42"/>
  <c r="R1892" i="42"/>
  <c r="R1987" i="42"/>
  <c r="R1997" i="42"/>
  <c r="R1932" i="42"/>
  <c r="R1844" i="42"/>
  <c r="R2070" i="42"/>
  <c r="R2058" i="42"/>
  <c r="R1936" i="42"/>
  <c r="R1983" i="42"/>
  <c r="R1874" i="42"/>
  <c r="R1999" i="42"/>
  <c r="R1849" i="42"/>
  <c r="R2048" i="42"/>
  <c r="R2065" i="42"/>
  <c r="R1914" i="42"/>
  <c r="R2036" i="42"/>
  <c r="R1865" i="42"/>
  <c r="R2035" i="42"/>
  <c r="R2053" i="42"/>
  <c r="R1886" i="42"/>
  <c r="R2034" i="42"/>
  <c r="R2011" i="42"/>
  <c r="R1868" i="42"/>
  <c r="R1848" i="42"/>
  <c r="R1909" i="42"/>
  <c r="R2033" i="42"/>
  <c r="R1880" i="42"/>
  <c r="R1922" i="42"/>
  <c r="R1982" i="42"/>
  <c r="R1911" i="42"/>
  <c r="R2012" i="42"/>
  <c r="R2057" i="42"/>
  <c r="R2052" i="42"/>
  <c r="R1941" i="42"/>
  <c r="R1945" i="42"/>
  <c r="R1961" i="42"/>
  <c r="R1969" i="42"/>
  <c r="R1962" i="42"/>
  <c r="R1898" i="42"/>
  <c r="R2019" i="42"/>
  <c r="R1965" i="42"/>
  <c r="R1943" i="42"/>
  <c r="R2025" i="42"/>
  <c r="R2016" i="42"/>
  <c r="R2010" i="42"/>
  <c r="R2045" i="42"/>
  <c r="R1994" i="42"/>
  <c r="R1894" i="42"/>
  <c r="R2078" i="42"/>
  <c r="R2002" i="42"/>
  <c r="R1843" i="42"/>
  <c r="R1934" i="42"/>
  <c r="R2001" i="42"/>
  <c r="R1968" i="42"/>
  <c r="R2042" i="42"/>
  <c r="R2051" i="42"/>
  <c r="R1858" i="42"/>
  <c r="R1887" i="42"/>
  <c r="R1888" i="42"/>
  <c r="R1938" i="42"/>
  <c r="R1910" i="42"/>
  <c r="R1861" i="42"/>
  <c r="R1900" i="42"/>
  <c r="R1902" i="42"/>
  <c r="R1885" i="42"/>
  <c r="R1919" i="42"/>
  <c r="R1952" i="42"/>
  <c r="R1859" i="42"/>
  <c r="R2077" i="42"/>
  <c r="R2056" i="42"/>
  <c r="R1872" i="42"/>
  <c r="R1977" i="42"/>
  <c r="R2074" i="42"/>
  <c r="R1842" i="42"/>
  <c r="R2009" i="42"/>
  <c r="R2041" i="42"/>
  <c r="R2050" i="42"/>
  <c r="R1964" i="42"/>
  <c r="R1903" i="42"/>
  <c r="R1850" i="42"/>
  <c r="R1937" i="42"/>
  <c r="R1956" i="42"/>
  <c r="R2026" i="42"/>
  <c r="R2055" i="42"/>
  <c r="R1852" i="42"/>
  <c r="R2046" i="42"/>
  <c r="R1975" i="42"/>
  <c r="R2030" i="42"/>
  <c r="R2047" i="42"/>
  <c r="R1996" i="42"/>
  <c r="R1984" i="42"/>
  <c r="R1882" i="42"/>
  <c r="R1866" i="42"/>
  <c r="R2071" i="42"/>
  <c r="R2008" i="42"/>
  <c r="R1896" i="42"/>
  <c r="R1972" i="42"/>
  <c r="R1907" i="42"/>
  <c r="R1869" i="42"/>
  <c r="R1939" i="42"/>
  <c r="R1930" i="42"/>
  <c r="R1879" i="42"/>
  <c r="R1920" i="42"/>
  <c r="R2018" i="42"/>
  <c r="R2062" i="42"/>
  <c r="R1870" i="42"/>
  <c r="R2027" i="42"/>
  <c r="R1998" i="42"/>
  <c r="R2064" i="42"/>
  <c r="R2068" i="42"/>
  <c r="R1897" i="42"/>
  <c r="R1904" i="42"/>
  <c r="R2003" i="42"/>
  <c r="R1933" i="42"/>
  <c r="R1957" i="42"/>
  <c r="R1921" i="42"/>
  <c r="R2014" i="42"/>
  <c r="R1991" i="42"/>
  <c r="R1878" i="42"/>
  <c r="R1923" i="42"/>
  <c r="R2069" i="42"/>
  <c r="R1917" i="42"/>
  <c r="R1908" i="42"/>
  <c r="R2029" i="42"/>
  <c r="R2013" i="42"/>
  <c r="R1863" i="42"/>
  <c r="R1942" i="42"/>
  <c r="R2022" i="42"/>
  <c r="R2032" i="42"/>
  <c r="R2059" i="42"/>
  <c r="R2072" i="42"/>
  <c r="R1993" i="42"/>
  <c r="R1867" i="42"/>
  <c r="R1845" i="42"/>
  <c r="R1851" i="42"/>
  <c r="R2028" i="42"/>
  <c r="R1949" i="42"/>
  <c r="R1857" i="42"/>
  <c r="R1927" i="42"/>
  <c r="R1889" i="42"/>
  <c r="R1940" i="42"/>
  <c r="R2067" i="42"/>
  <c r="R1899" i="42"/>
  <c r="R1953" i="42"/>
  <c r="R1981" i="42"/>
  <c r="R2000" i="42"/>
  <c r="P1813" i="42"/>
  <c r="P1814" i="42"/>
  <c r="P1815" i="42"/>
  <c r="P1816" i="42"/>
  <c r="P1817" i="42"/>
  <c r="P1818" i="42"/>
  <c r="P1819" i="42"/>
  <c r="P1820" i="42"/>
  <c r="P1821" i="42"/>
  <c r="P1822" i="42"/>
  <c r="P1823" i="42"/>
  <c r="P1824" i="42"/>
  <c r="P1825" i="42"/>
  <c r="P1826" i="42"/>
  <c r="P1827" i="42"/>
  <c r="P1828" i="42"/>
  <c r="P1829" i="42"/>
  <c r="P1830" i="42"/>
  <c r="P1831" i="42"/>
  <c r="P1832" i="42"/>
  <c r="P1833" i="42"/>
  <c r="P1834" i="42"/>
  <c r="P1835" i="42"/>
  <c r="P1836" i="42"/>
  <c r="P1837" i="42"/>
  <c r="P1838" i="42"/>
  <c r="P1839" i="42"/>
  <c r="P1840" i="42"/>
  <c r="P1841" i="42"/>
  <c r="O1813" i="42"/>
  <c r="O1814" i="42"/>
  <c r="O1815" i="42"/>
  <c r="O1816" i="42"/>
  <c r="O1817" i="42"/>
  <c r="O1818" i="42"/>
  <c r="O1819" i="42"/>
  <c r="O1820" i="42"/>
  <c r="O1821" i="42"/>
  <c r="O1822" i="42"/>
  <c r="O1823" i="42"/>
  <c r="O1824" i="42"/>
  <c r="O1825" i="42"/>
  <c r="O1826" i="42"/>
  <c r="O1827" i="42"/>
  <c r="O1828" i="42"/>
  <c r="O1829" i="42"/>
  <c r="O1830" i="42"/>
  <c r="O1831" i="42"/>
  <c r="O1832" i="42"/>
  <c r="O1833" i="42"/>
  <c r="O1834" i="42"/>
  <c r="O1835" i="42"/>
  <c r="O1836" i="42"/>
  <c r="O1837" i="42"/>
  <c r="O1838" i="42"/>
  <c r="O1839" i="42"/>
  <c r="O1840" i="42"/>
  <c r="O1841" i="42"/>
  <c r="M1813" i="42"/>
  <c r="M1814" i="42"/>
  <c r="M1815" i="42"/>
  <c r="M1816" i="42"/>
  <c r="M1817" i="42"/>
  <c r="M1818" i="42"/>
  <c r="M1819" i="42"/>
  <c r="M1820" i="42"/>
  <c r="M1821" i="42"/>
  <c r="M1822" i="42"/>
  <c r="M1823" i="42"/>
  <c r="M1824" i="42"/>
  <c r="M1825" i="42"/>
  <c r="M1826" i="42"/>
  <c r="M1827" i="42"/>
  <c r="M1828" i="42"/>
  <c r="M1829" i="42"/>
  <c r="M1830" i="42"/>
  <c r="M1831" i="42"/>
  <c r="M1832" i="42"/>
  <c r="M1833" i="42"/>
  <c r="M1834" i="42"/>
  <c r="M1835" i="42"/>
  <c r="M1836" i="42"/>
  <c r="M1837" i="42"/>
  <c r="M1838" i="42"/>
  <c r="M1839" i="42"/>
  <c r="M1840" i="42"/>
  <c r="M1841" i="42"/>
  <c r="O1812" i="42"/>
  <c r="M1812" i="42"/>
  <c r="P1812" i="42"/>
  <c r="P1731" i="42"/>
  <c r="P1732" i="42"/>
  <c r="P1733" i="42"/>
  <c r="P1734" i="42"/>
  <c r="P1735" i="42"/>
  <c r="P1736" i="42"/>
  <c r="P1737" i="42"/>
  <c r="P1738" i="42"/>
  <c r="P1739" i="42"/>
  <c r="P1740" i="42"/>
  <c r="P1741" i="42"/>
  <c r="P1742" i="42"/>
  <c r="P1743" i="42"/>
  <c r="P1744" i="42"/>
  <c r="P1745" i="42"/>
  <c r="P1746" i="42"/>
  <c r="P1747" i="42"/>
  <c r="P1748" i="42"/>
  <c r="P1749" i="42"/>
  <c r="P1750" i="42"/>
  <c r="P1751" i="42"/>
  <c r="P1752" i="42"/>
  <c r="P1753" i="42"/>
  <c r="P1754" i="42"/>
  <c r="P1755" i="42"/>
  <c r="P1756" i="42"/>
  <c r="P1757" i="42"/>
  <c r="P1758" i="42"/>
  <c r="P1759" i="42"/>
  <c r="P1760" i="42"/>
  <c r="P1761" i="42"/>
  <c r="P1762" i="42"/>
  <c r="P1763" i="42"/>
  <c r="P1764" i="42"/>
  <c r="P1765" i="42"/>
  <c r="P1766" i="42"/>
  <c r="P1767" i="42"/>
  <c r="P1768" i="42"/>
  <c r="P1769" i="42"/>
  <c r="P1770" i="42"/>
  <c r="P1771" i="42"/>
  <c r="P1772" i="42"/>
  <c r="P1773" i="42"/>
  <c r="P1774" i="42"/>
  <c r="P1775" i="42"/>
  <c r="P1776" i="42"/>
  <c r="P1777" i="42"/>
  <c r="P1778" i="42"/>
  <c r="P1779" i="42"/>
  <c r="P1780" i="42"/>
  <c r="P1781" i="42"/>
  <c r="P1782" i="42"/>
  <c r="P1783" i="42"/>
  <c r="P1784" i="42"/>
  <c r="P1785" i="42"/>
  <c r="P1786" i="42"/>
  <c r="P1787" i="42"/>
  <c r="P1788" i="42"/>
  <c r="P1789" i="42"/>
  <c r="P1790" i="42"/>
  <c r="P1791" i="42"/>
  <c r="P1792" i="42"/>
  <c r="P1793" i="42"/>
  <c r="P1794" i="42"/>
  <c r="P1795" i="42"/>
  <c r="P1796" i="42"/>
  <c r="P1797" i="42"/>
  <c r="P1798" i="42"/>
  <c r="P1799" i="42"/>
  <c r="P1800" i="42"/>
  <c r="P1801" i="42"/>
  <c r="P1802" i="42"/>
  <c r="P1803" i="42"/>
  <c r="P1804" i="42"/>
  <c r="P1805" i="42"/>
  <c r="P1806" i="42"/>
  <c r="P1807" i="42"/>
  <c r="P1808" i="42"/>
  <c r="P1809" i="42"/>
  <c r="P1810" i="42"/>
  <c r="P1811" i="42"/>
  <c r="O1731" i="42"/>
  <c r="O1732" i="42"/>
  <c r="O1733" i="42"/>
  <c r="O1734" i="42"/>
  <c r="O1735" i="42"/>
  <c r="O1736" i="42"/>
  <c r="O1737" i="42"/>
  <c r="O1738" i="42"/>
  <c r="O1739" i="42"/>
  <c r="O1740" i="42"/>
  <c r="O1741" i="42"/>
  <c r="O1742" i="42"/>
  <c r="O1743" i="42"/>
  <c r="O1744" i="42"/>
  <c r="O1745" i="42"/>
  <c r="O1746" i="42"/>
  <c r="O1747" i="42"/>
  <c r="O1748" i="42"/>
  <c r="O1749" i="42"/>
  <c r="O1750" i="42"/>
  <c r="O1751" i="42"/>
  <c r="O1752" i="42"/>
  <c r="O1753" i="42"/>
  <c r="O1754" i="42"/>
  <c r="O1755" i="42"/>
  <c r="O1756" i="42"/>
  <c r="O1757" i="42"/>
  <c r="O1758" i="42"/>
  <c r="O1759" i="42"/>
  <c r="O1760" i="42"/>
  <c r="O1761" i="42"/>
  <c r="O1762" i="42"/>
  <c r="O1763" i="42"/>
  <c r="O1764" i="42"/>
  <c r="O1765" i="42"/>
  <c r="O1766" i="42"/>
  <c r="O1767" i="42"/>
  <c r="O1768" i="42"/>
  <c r="O1769" i="42"/>
  <c r="O1770" i="42"/>
  <c r="O1771" i="42"/>
  <c r="O1772" i="42"/>
  <c r="O1773" i="42"/>
  <c r="O1774" i="42"/>
  <c r="O1775" i="42"/>
  <c r="O1776" i="42"/>
  <c r="O1777" i="42"/>
  <c r="O1778" i="42"/>
  <c r="O1779" i="42"/>
  <c r="O1780" i="42"/>
  <c r="O1781" i="42"/>
  <c r="O1782" i="42"/>
  <c r="O1783" i="42"/>
  <c r="O1784" i="42"/>
  <c r="O1785" i="42"/>
  <c r="O1786" i="42"/>
  <c r="O1787" i="42"/>
  <c r="O1788" i="42"/>
  <c r="O1789" i="42"/>
  <c r="O1790" i="42"/>
  <c r="O1791" i="42"/>
  <c r="O1792" i="42"/>
  <c r="O1793" i="42"/>
  <c r="O1794" i="42"/>
  <c r="O1795" i="42"/>
  <c r="O1796" i="42"/>
  <c r="O1797" i="42"/>
  <c r="O1798" i="42"/>
  <c r="O1799" i="42"/>
  <c r="O1800" i="42"/>
  <c r="O1801" i="42"/>
  <c r="O1802" i="42"/>
  <c r="O1803" i="42"/>
  <c r="O1804" i="42"/>
  <c r="O1805" i="42"/>
  <c r="O1806" i="42"/>
  <c r="O1807" i="42"/>
  <c r="O1808" i="42"/>
  <c r="O1809" i="42"/>
  <c r="O1810" i="42"/>
  <c r="O1811" i="42"/>
  <c r="M1731" i="42"/>
  <c r="M1732" i="42"/>
  <c r="M1733" i="42"/>
  <c r="M1734" i="42"/>
  <c r="M1735" i="42"/>
  <c r="M1736" i="42"/>
  <c r="M1737" i="42"/>
  <c r="M1738" i="42"/>
  <c r="M1739" i="42"/>
  <c r="M1740" i="42"/>
  <c r="M1741" i="42"/>
  <c r="M1742" i="42"/>
  <c r="M1743" i="42"/>
  <c r="M1744" i="42"/>
  <c r="M1745" i="42"/>
  <c r="M1746" i="42"/>
  <c r="M1747" i="42"/>
  <c r="M1748" i="42"/>
  <c r="M1749" i="42"/>
  <c r="M1750" i="42"/>
  <c r="M1751" i="42"/>
  <c r="M1752" i="42"/>
  <c r="M1753" i="42"/>
  <c r="M1754" i="42"/>
  <c r="M1755" i="42"/>
  <c r="M1756" i="42"/>
  <c r="M1757" i="42"/>
  <c r="M1758" i="42"/>
  <c r="M1759" i="42"/>
  <c r="M1760" i="42"/>
  <c r="M1761" i="42"/>
  <c r="M1762" i="42"/>
  <c r="M1763" i="42"/>
  <c r="M1764" i="42"/>
  <c r="M1765" i="42"/>
  <c r="M1766" i="42"/>
  <c r="M1767" i="42"/>
  <c r="M1768" i="42"/>
  <c r="M1769" i="42"/>
  <c r="M1770" i="42"/>
  <c r="M1771" i="42"/>
  <c r="M1772" i="42"/>
  <c r="M1773" i="42"/>
  <c r="M1774" i="42"/>
  <c r="M1775" i="42"/>
  <c r="M1776" i="42"/>
  <c r="M1777" i="42"/>
  <c r="M1778" i="42"/>
  <c r="M1779" i="42"/>
  <c r="M1780" i="42"/>
  <c r="M1781" i="42"/>
  <c r="M1782" i="42"/>
  <c r="M1783" i="42"/>
  <c r="M1784" i="42"/>
  <c r="M1785" i="42"/>
  <c r="M1786" i="42"/>
  <c r="M1787" i="42"/>
  <c r="M1788" i="42"/>
  <c r="M1789" i="42"/>
  <c r="M1790" i="42"/>
  <c r="M1791" i="42"/>
  <c r="M1792" i="42"/>
  <c r="M1793" i="42"/>
  <c r="M1794" i="42"/>
  <c r="M1795" i="42"/>
  <c r="M1796" i="42"/>
  <c r="M1797" i="42"/>
  <c r="M1798" i="42"/>
  <c r="M1799" i="42"/>
  <c r="M1800" i="42"/>
  <c r="M1801" i="42"/>
  <c r="M1802" i="42"/>
  <c r="M1803" i="42"/>
  <c r="M1804" i="42"/>
  <c r="M1805" i="42"/>
  <c r="M1806" i="42"/>
  <c r="M1807" i="42"/>
  <c r="M1808" i="42"/>
  <c r="M1809" i="42"/>
  <c r="M1810" i="42"/>
  <c r="M1811" i="42"/>
  <c r="O1730" i="42"/>
  <c r="M1730" i="42"/>
  <c r="P1730" i="42"/>
  <c r="P1726" i="42"/>
  <c r="P1727" i="42"/>
  <c r="P1722" i="42"/>
  <c r="P1724" i="42"/>
  <c r="P1717" i="42"/>
  <c r="P1718" i="42"/>
  <c r="P1723" i="42"/>
  <c r="P1720" i="42"/>
  <c r="P1728" i="42"/>
  <c r="P1725" i="42"/>
  <c r="P1729" i="42"/>
  <c r="P1721" i="42"/>
  <c r="O1719" i="42"/>
  <c r="O1726" i="42"/>
  <c r="O1727" i="42"/>
  <c r="O1722" i="42"/>
  <c r="O1724" i="42"/>
  <c r="O1717" i="42"/>
  <c r="O1718" i="42"/>
  <c r="O1723" i="42"/>
  <c r="O1720" i="42"/>
  <c r="O1728" i="42"/>
  <c r="O1725" i="42"/>
  <c r="O1729" i="42"/>
  <c r="O1721" i="42"/>
  <c r="M1726" i="42"/>
  <c r="M1727" i="42"/>
  <c r="M1722" i="42"/>
  <c r="M1724" i="42"/>
  <c r="M1717" i="42"/>
  <c r="M1718" i="42"/>
  <c r="M1723" i="42"/>
  <c r="M1720" i="42"/>
  <c r="M1728" i="42"/>
  <c r="M1725" i="42"/>
  <c r="M1729" i="42"/>
  <c r="M1721" i="42"/>
  <c r="M1719" i="42"/>
  <c r="P1719" i="42"/>
  <c r="L875" i="38"/>
  <c r="L876" i="38"/>
  <c r="L877" i="38"/>
  <c r="L878" i="38"/>
  <c r="L879" i="38"/>
  <c r="L874" i="38"/>
  <c r="O870" i="38"/>
  <c r="O880" i="38"/>
  <c r="O879" i="38"/>
  <c r="O878" i="38"/>
  <c r="O877" i="38"/>
  <c r="O876" i="38"/>
  <c r="O875" i="38"/>
  <c r="O874" i="38"/>
  <c r="O873" i="38"/>
  <c r="O872" i="38"/>
  <c r="O871" i="38"/>
  <c r="N880" i="38"/>
  <c r="N879" i="38"/>
  <c r="N878" i="38"/>
  <c r="N877" i="38"/>
  <c r="N876" i="38"/>
  <c r="N875" i="38"/>
  <c r="N874" i="38"/>
  <c r="N873" i="38"/>
  <c r="N872" i="38"/>
  <c r="N871" i="38"/>
  <c r="N870" i="38"/>
  <c r="L871" i="38"/>
  <c r="L872" i="38"/>
  <c r="L873" i="38"/>
  <c r="L870" i="38"/>
  <c r="L867" i="38"/>
  <c r="L868" i="38"/>
  <c r="L869" i="38"/>
  <c r="L814" i="38"/>
  <c r="L815" i="38"/>
  <c r="L816" i="38"/>
  <c r="L817" i="38"/>
  <c r="L818" i="38"/>
  <c r="L819" i="38"/>
  <c r="L820" i="38"/>
  <c r="L821" i="38"/>
  <c r="L822" i="38"/>
  <c r="L823" i="38"/>
  <c r="L824" i="38"/>
  <c r="L825" i="38"/>
  <c r="L826" i="38"/>
  <c r="L827" i="38"/>
  <c r="L828" i="38"/>
  <c r="L829" i="38"/>
  <c r="L830" i="38"/>
  <c r="L831" i="38"/>
  <c r="L832" i="38"/>
  <c r="L833" i="38"/>
  <c r="L834" i="38"/>
  <c r="L835" i="38"/>
  <c r="L836" i="38"/>
  <c r="L837" i="38"/>
  <c r="L838" i="38"/>
  <c r="L839" i="38"/>
  <c r="L840" i="38"/>
  <c r="L841" i="38"/>
  <c r="L842" i="38"/>
  <c r="L843" i="38"/>
  <c r="L844" i="38"/>
  <c r="L845" i="38"/>
  <c r="L846" i="38"/>
  <c r="L847" i="38"/>
  <c r="L848" i="38"/>
  <c r="L849" i="38"/>
  <c r="L850" i="38"/>
  <c r="L851" i="38"/>
  <c r="L852" i="38"/>
  <c r="L853" i="38"/>
  <c r="L854" i="38"/>
  <c r="L855" i="38"/>
  <c r="L856" i="38"/>
  <c r="L857" i="38"/>
  <c r="L858" i="38"/>
  <c r="L859" i="38"/>
  <c r="L860" i="38"/>
  <c r="L861" i="38"/>
  <c r="L862" i="38"/>
  <c r="L863" i="38"/>
  <c r="L864" i="38"/>
  <c r="L865" i="38"/>
  <c r="L866" i="38"/>
  <c r="L813" i="38"/>
  <c r="P1715" i="42"/>
  <c r="P1635" i="42"/>
  <c r="P1636" i="42"/>
  <c r="P1637" i="42"/>
  <c r="P1638" i="42"/>
  <c r="P1639" i="42"/>
  <c r="P1640" i="42"/>
  <c r="P1641" i="42"/>
  <c r="P1642" i="42"/>
  <c r="P1643" i="42"/>
  <c r="P1644" i="42"/>
  <c r="P1645" i="42"/>
  <c r="P1646" i="42"/>
  <c r="P1647" i="42"/>
  <c r="P1648" i="42"/>
  <c r="P1649" i="42"/>
  <c r="P1650" i="42"/>
  <c r="P1651" i="42"/>
  <c r="P1652" i="42"/>
  <c r="P1653" i="42"/>
  <c r="P1654" i="42"/>
  <c r="P1655" i="42"/>
  <c r="P1656" i="42"/>
  <c r="P1657" i="42"/>
  <c r="P1658" i="42"/>
  <c r="P1659" i="42"/>
  <c r="P1660" i="42"/>
  <c r="P1661" i="42"/>
  <c r="P1662" i="42"/>
  <c r="P1663" i="42"/>
  <c r="P1664" i="42"/>
  <c r="P1665" i="42"/>
  <c r="P1666" i="42"/>
  <c r="P1667" i="42"/>
  <c r="P1668" i="42"/>
  <c r="P1669" i="42"/>
  <c r="P1670" i="42"/>
  <c r="P1671" i="42"/>
  <c r="P1672" i="42"/>
  <c r="P1673" i="42"/>
  <c r="P1674" i="42"/>
  <c r="P1675" i="42"/>
  <c r="P1676" i="42"/>
  <c r="P1677" i="42"/>
  <c r="P1678" i="42"/>
  <c r="P1679" i="42"/>
  <c r="P1680" i="42"/>
  <c r="P1681" i="42"/>
  <c r="P1682" i="42"/>
  <c r="P1683" i="42"/>
  <c r="P1684" i="42"/>
  <c r="P1685" i="42"/>
  <c r="P1686" i="42"/>
  <c r="P1687" i="42"/>
  <c r="P1688" i="42"/>
  <c r="P1689" i="42"/>
  <c r="P1690" i="42"/>
  <c r="P1691" i="42"/>
  <c r="P1692" i="42"/>
  <c r="P1693" i="42"/>
  <c r="P1694" i="42"/>
  <c r="P1695" i="42"/>
  <c r="P1696" i="42"/>
  <c r="P1697" i="42"/>
  <c r="P1698" i="42"/>
  <c r="P1699" i="42"/>
  <c r="P1716" i="42"/>
  <c r="P1700" i="42"/>
  <c r="P1701" i="42"/>
  <c r="P1702" i="42"/>
  <c r="P1703" i="42"/>
  <c r="P1704" i="42"/>
  <c r="P1705" i="42"/>
  <c r="P1706" i="42"/>
  <c r="P1707" i="42"/>
  <c r="P1708" i="42"/>
  <c r="P1709" i="42"/>
  <c r="P1710" i="42"/>
  <c r="P1711" i="42"/>
  <c r="P1712" i="42"/>
  <c r="P1713" i="42"/>
  <c r="P1714" i="42"/>
  <c r="O1635" i="42"/>
  <c r="O1636" i="42"/>
  <c r="O1637" i="42"/>
  <c r="O1638" i="42"/>
  <c r="O1639" i="42"/>
  <c r="O1640" i="42"/>
  <c r="O1641" i="42"/>
  <c r="O1642" i="42"/>
  <c r="O1643" i="42"/>
  <c r="O1644" i="42"/>
  <c r="O1645" i="42"/>
  <c r="O1646" i="42"/>
  <c r="O1647" i="42"/>
  <c r="O1648" i="42"/>
  <c r="O1649" i="42"/>
  <c r="O1650" i="42"/>
  <c r="O1651" i="42"/>
  <c r="O1652" i="42"/>
  <c r="O1653" i="42"/>
  <c r="O1654" i="42"/>
  <c r="O1655" i="42"/>
  <c r="O1656" i="42"/>
  <c r="O1657" i="42"/>
  <c r="O1658" i="42"/>
  <c r="O1659" i="42"/>
  <c r="O1660" i="42"/>
  <c r="O1661" i="42"/>
  <c r="O1662" i="42"/>
  <c r="O1663" i="42"/>
  <c r="O1664" i="42"/>
  <c r="O1665" i="42"/>
  <c r="O1666" i="42"/>
  <c r="O1667" i="42"/>
  <c r="O1668" i="42"/>
  <c r="O1669" i="42"/>
  <c r="O1670" i="42"/>
  <c r="O1671" i="42"/>
  <c r="O1672" i="42"/>
  <c r="O1673" i="42"/>
  <c r="O1674" i="42"/>
  <c r="O1675" i="42"/>
  <c r="O1676" i="42"/>
  <c r="O1677" i="42"/>
  <c r="O1678" i="42"/>
  <c r="O1679" i="42"/>
  <c r="O1680" i="42"/>
  <c r="O1681" i="42"/>
  <c r="O1682" i="42"/>
  <c r="O1683" i="42"/>
  <c r="O1684" i="42"/>
  <c r="O1685" i="42"/>
  <c r="O1686" i="42"/>
  <c r="O1687" i="42"/>
  <c r="O1688" i="42"/>
  <c r="O1689" i="42"/>
  <c r="O1690" i="42"/>
  <c r="O1691" i="42"/>
  <c r="O1692" i="42"/>
  <c r="O1693" i="42"/>
  <c r="O1694" i="42"/>
  <c r="O1695" i="42"/>
  <c r="O1696" i="42"/>
  <c r="O1697" i="42"/>
  <c r="O1698" i="42"/>
  <c r="O1699" i="42"/>
  <c r="O1716" i="42"/>
  <c r="O1700" i="42"/>
  <c r="O1701" i="42"/>
  <c r="O1702" i="42"/>
  <c r="O1703" i="42"/>
  <c r="O1704" i="42"/>
  <c r="O1705" i="42"/>
  <c r="O1706" i="42"/>
  <c r="O1707" i="42"/>
  <c r="O1708" i="42"/>
  <c r="O1709" i="42"/>
  <c r="O1710" i="42"/>
  <c r="O1711" i="42"/>
  <c r="O1712" i="42"/>
  <c r="O1713" i="42"/>
  <c r="O1714" i="42"/>
  <c r="O1715" i="42"/>
  <c r="M1636" i="42"/>
  <c r="M1637" i="42"/>
  <c r="M1638" i="42"/>
  <c r="M1639" i="42"/>
  <c r="M1640" i="42"/>
  <c r="M1641" i="42"/>
  <c r="M1642" i="42"/>
  <c r="M1643" i="42"/>
  <c r="M1644" i="42"/>
  <c r="M1645" i="42"/>
  <c r="M1646" i="42"/>
  <c r="M1647" i="42"/>
  <c r="M1648" i="42"/>
  <c r="M1649" i="42"/>
  <c r="M1650" i="42"/>
  <c r="M1651" i="42"/>
  <c r="M1652" i="42"/>
  <c r="M1653" i="42"/>
  <c r="M1654" i="42"/>
  <c r="M1655" i="42"/>
  <c r="M1656" i="42"/>
  <c r="M1657" i="42"/>
  <c r="M1658" i="42"/>
  <c r="M1659" i="42"/>
  <c r="M1660" i="42"/>
  <c r="M1661" i="42"/>
  <c r="M1662" i="42"/>
  <c r="M1663" i="42"/>
  <c r="M1664" i="42"/>
  <c r="M1665" i="42"/>
  <c r="M1666" i="42"/>
  <c r="M1667" i="42"/>
  <c r="M1668" i="42"/>
  <c r="M1669" i="42"/>
  <c r="M1670" i="42"/>
  <c r="M1671" i="42"/>
  <c r="M1672" i="42"/>
  <c r="M1673" i="42"/>
  <c r="M1674" i="42"/>
  <c r="M1675" i="42"/>
  <c r="M1676" i="42"/>
  <c r="M1677" i="42"/>
  <c r="M1678" i="42"/>
  <c r="M1679" i="42"/>
  <c r="M1680" i="42"/>
  <c r="M1681" i="42"/>
  <c r="M1682" i="42"/>
  <c r="M1683" i="42"/>
  <c r="M1684" i="42"/>
  <c r="M1685" i="42"/>
  <c r="M1686" i="42"/>
  <c r="M1687" i="42"/>
  <c r="M1688" i="42"/>
  <c r="M1689" i="42"/>
  <c r="M1690" i="42"/>
  <c r="M1691" i="42"/>
  <c r="M1692" i="42"/>
  <c r="M1693" i="42"/>
  <c r="M1694" i="42"/>
  <c r="M1695" i="42"/>
  <c r="M1696" i="42"/>
  <c r="M1697" i="42"/>
  <c r="M1698" i="42"/>
  <c r="M1699" i="42"/>
  <c r="M1716" i="42"/>
  <c r="M1700" i="42"/>
  <c r="M1701" i="42"/>
  <c r="M1702" i="42"/>
  <c r="M1703" i="42"/>
  <c r="M1704" i="42"/>
  <c r="M1705" i="42"/>
  <c r="M1706" i="42"/>
  <c r="M1707" i="42"/>
  <c r="M1708" i="42"/>
  <c r="M1709" i="42"/>
  <c r="M1710" i="42"/>
  <c r="M1711" i="42"/>
  <c r="M1712" i="42"/>
  <c r="M1713" i="42"/>
  <c r="M1714" i="42"/>
  <c r="M1715" i="42"/>
  <c r="M1635" i="42"/>
  <c r="L808" i="38"/>
  <c r="L809" i="38"/>
  <c r="L810" i="38"/>
  <c r="L811" i="38"/>
  <c r="L812" i="38"/>
  <c r="L807" i="38"/>
  <c r="N806" i="38"/>
  <c r="N807" i="38"/>
  <c r="N808" i="38"/>
  <c r="N809" i="38"/>
  <c r="N810" i="38"/>
  <c r="N811" i="38"/>
  <c r="N812" i="38"/>
  <c r="N813" i="38"/>
  <c r="N814" i="38"/>
  <c r="N815" i="38"/>
  <c r="N816" i="38"/>
  <c r="N817" i="38"/>
  <c r="N818" i="38"/>
  <c r="N819" i="38"/>
  <c r="N820" i="38"/>
  <c r="N821" i="38"/>
  <c r="N822" i="38"/>
  <c r="N823" i="38"/>
  <c r="N824" i="38"/>
  <c r="N825" i="38"/>
  <c r="N826" i="38"/>
  <c r="N827" i="38"/>
  <c r="N828" i="38"/>
  <c r="N829" i="38"/>
  <c r="N830" i="38"/>
  <c r="N831" i="38"/>
  <c r="N832" i="38"/>
  <c r="N833" i="38"/>
  <c r="N834" i="38"/>
  <c r="N835" i="38"/>
  <c r="N836" i="38"/>
  <c r="N837" i="38"/>
  <c r="N838" i="38"/>
  <c r="N839" i="38"/>
  <c r="N840" i="38"/>
  <c r="N841" i="38"/>
  <c r="N842" i="38"/>
  <c r="N843" i="38"/>
  <c r="N844" i="38"/>
  <c r="N845" i="38"/>
  <c r="N846" i="38"/>
  <c r="N847" i="38"/>
  <c r="N848" i="38"/>
  <c r="N849" i="38"/>
  <c r="N850" i="38"/>
  <c r="N851" i="38"/>
  <c r="N852" i="38"/>
  <c r="N853" i="38"/>
  <c r="N854" i="38"/>
  <c r="N855" i="38"/>
  <c r="N856" i="38"/>
  <c r="N857" i="38"/>
  <c r="N858" i="38"/>
  <c r="N859" i="38"/>
  <c r="N860" i="38"/>
  <c r="N861" i="38"/>
  <c r="N862" i="38"/>
  <c r="N863" i="38"/>
  <c r="N864" i="38"/>
  <c r="N865" i="38"/>
  <c r="N866" i="38"/>
  <c r="N867" i="38"/>
  <c r="N868" i="38"/>
  <c r="N869" i="38"/>
  <c r="L806" i="38"/>
  <c r="L803" i="38"/>
  <c r="L804" i="38"/>
  <c r="O787" i="38"/>
  <c r="O788" i="38"/>
  <c r="O789" i="38"/>
  <c r="O790" i="38"/>
  <c r="O791" i="38"/>
  <c r="O792" i="38"/>
  <c r="O793" i="38"/>
  <c r="O794" i="38"/>
  <c r="O795" i="38"/>
  <c r="O796" i="38"/>
  <c r="O797" i="38"/>
  <c r="O798" i="38"/>
  <c r="O799" i="38"/>
  <c r="O800" i="38"/>
  <c r="O801" i="38"/>
  <c r="O802" i="38"/>
  <c r="O803" i="38"/>
  <c r="P803" i="38" s="1"/>
  <c r="Q803" i="38" s="1"/>
  <c r="O804" i="38"/>
  <c r="P804" i="38" s="1"/>
  <c r="Q804" i="38" s="1"/>
  <c r="O805" i="38"/>
  <c r="O806" i="38"/>
  <c r="O807" i="38"/>
  <c r="O808" i="38"/>
  <c r="O809" i="38"/>
  <c r="O810" i="38"/>
  <c r="O811" i="38"/>
  <c r="O812" i="38"/>
  <c r="O813" i="38"/>
  <c r="O814" i="38"/>
  <c r="O815" i="38"/>
  <c r="O816" i="38"/>
  <c r="O817" i="38"/>
  <c r="O818" i="38"/>
  <c r="O819" i="38"/>
  <c r="O820" i="38"/>
  <c r="O821" i="38"/>
  <c r="O822" i="38"/>
  <c r="O823" i="38"/>
  <c r="O824" i="38"/>
  <c r="O825" i="38"/>
  <c r="O826" i="38"/>
  <c r="O827" i="38"/>
  <c r="O828" i="38"/>
  <c r="O829" i="38"/>
  <c r="O830" i="38"/>
  <c r="O831" i="38"/>
  <c r="O832" i="38"/>
  <c r="O833" i="38"/>
  <c r="O834" i="38"/>
  <c r="O835" i="38"/>
  <c r="O836" i="38"/>
  <c r="O837" i="38"/>
  <c r="O838" i="38"/>
  <c r="O839" i="38"/>
  <c r="O840" i="38"/>
  <c r="O841" i="38"/>
  <c r="O842" i="38"/>
  <c r="O843" i="38"/>
  <c r="O844" i="38"/>
  <c r="O845" i="38"/>
  <c r="O846" i="38"/>
  <c r="O847" i="38"/>
  <c r="O848" i="38"/>
  <c r="O849" i="38"/>
  <c r="O850" i="38"/>
  <c r="O851" i="38"/>
  <c r="O852" i="38"/>
  <c r="O853" i="38"/>
  <c r="O854" i="38"/>
  <c r="O855" i="38"/>
  <c r="O856" i="38"/>
  <c r="O857" i="38"/>
  <c r="O858" i="38"/>
  <c r="O859" i="38"/>
  <c r="O860" i="38"/>
  <c r="O861" i="38"/>
  <c r="O862" i="38"/>
  <c r="O863" i="38"/>
  <c r="O864" i="38"/>
  <c r="O865" i="38"/>
  <c r="O866" i="38"/>
  <c r="O867" i="38"/>
  <c r="O868" i="38"/>
  <c r="O869" i="38"/>
  <c r="N786" i="38"/>
  <c r="N787" i="38"/>
  <c r="N788" i="38"/>
  <c r="N789" i="38"/>
  <c r="N790" i="38"/>
  <c r="N791" i="38"/>
  <c r="N792" i="38"/>
  <c r="N793" i="38"/>
  <c r="N794" i="38"/>
  <c r="N795" i="38"/>
  <c r="N796" i="38"/>
  <c r="N797" i="38"/>
  <c r="N798" i="38"/>
  <c r="N799" i="38"/>
  <c r="N800" i="38"/>
  <c r="N801" i="38"/>
  <c r="N802" i="38"/>
  <c r="L787" i="38"/>
  <c r="L788" i="38"/>
  <c r="L789" i="38"/>
  <c r="L790" i="38"/>
  <c r="L791" i="38"/>
  <c r="L792" i="38"/>
  <c r="L793" i="38"/>
  <c r="L794" i="38"/>
  <c r="L795" i="38"/>
  <c r="L796" i="38"/>
  <c r="L797" i="38"/>
  <c r="L798" i="38"/>
  <c r="L799" i="38"/>
  <c r="L800" i="38"/>
  <c r="L801" i="38"/>
  <c r="L802" i="38"/>
  <c r="L786" i="38"/>
  <c r="O786" i="38"/>
  <c r="L880" i="38"/>
  <c r="N805" i="38"/>
  <c r="L805" i="38"/>
  <c r="P1600" i="42"/>
  <c r="P1601" i="42"/>
  <c r="P1602" i="42"/>
  <c r="P1603" i="42"/>
  <c r="P1604" i="42"/>
  <c r="O1600" i="42"/>
  <c r="O1601" i="42"/>
  <c r="O1602" i="42"/>
  <c r="O1603" i="42"/>
  <c r="O1604" i="42"/>
  <c r="M1601" i="42"/>
  <c r="M1602" i="42"/>
  <c r="M1603" i="42"/>
  <c r="M1604" i="42"/>
  <c r="M1600" i="42"/>
  <c r="P1607" i="42"/>
  <c r="P1608" i="42"/>
  <c r="P1609" i="42"/>
  <c r="P1610" i="42"/>
  <c r="P1611" i="42"/>
  <c r="O1605" i="42"/>
  <c r="O1606" i="42"/>
  <c r="O1607" i="42"/>
  <c r="O1608" i="42"/>
  <c r="O1609" i="42"/>
  <c r="O1610" i="42"/>
  <c r="O1611" i="42"/>
  <c r="M1606" i="42"/>
  <c r="M1607" i="42"/>
  <c r="M1608" i="42"/>
  <c r="M1609" i="42"/>
  <c r="M1610" i="42"/>
  <c r="M1611" i="42"/>
  <c r="M1605" i="42"/>
  <c r="P1606" i="42"/>
  <c r="P1605" i="42"/>
  <c r="P1615" i="42"/>
  <c r="P1616" i="42"/>
  <c r="P1617" i="42"/>
  <c r="P1618" i="42"/>
  <c r="P1619" i="42"/>
  <c r="P1620" i="42"/>
  <c r="P1621" i="42"/>
  <c r="P1622" i="42"/>
  <c r="P1623" i="42"/>
  <c r="P1624" i="42"/>
  <c r="P1625" i="42"/>
  <c r="P1626" i="42"/>
  <c r="P1627" i="42"/>
  <c r="P1628" i="42"/>
  <c r="P1629" i="42"/>
  <c r="P1630" i="42"/>
  <c r="P1631" i="42"/>
  <c r="P1632" i="42"/>
  <c r="P1633" i="42"/>
  <c r="P1634" i="42"/>
  <c r="P1612" i="42"/>
  <c r="P1613" i="42"/>
  <c r="P1614" i="42"/>
  <c r="O1615" i="42"/>
  <c r="O1616" i="42"/>
  <c r="O1617" i="42"/>
  <c r="O1618" i="42"/>
  <c r="O1619" i="42"/>
  <c r="O1620" i="42"/>
  <c r="O1621" i="42"/>
  <c r="O1622" i="42"/>
  <c r="O1623" i="42"/>
  <c r="O1624" i="42"/>
  <c r="O1625" i="42"/>
  <c r="O1626" i="42"/>
  <c r="O1627" i="42"/>
  <c r="O1628" i="42"/>
  <c r="O1629" i="42"/>
  <c r="O1630" i="42"/>
  <c r="O1631" i="42"/>
  <c r="O1632" i="42"/>
  <c r="O1633" i="42"/>
  <c r="O1634" i="42"/>
  <c r="O1612" i="42"/>
  <c r="O1613" i="42"/>
  <c r="O1614" i="42"/>
  <c r="M1616" i="42"/>
  <c r="M1617" i="42"/>
  <c r="M1618" i="42"/>
  <c r="M1619" i="42"/>
  <c r="M1620" i="42"/>
  <c r="M1621" i="42"/>
  <c r="M1622" i="42"/>
  <c r="M1623" i="42"/>
  <c r="M1624" i="42"/>
  <c r="M1625" i="42"/>
  <c r="M1626" i="42"/>
  <c r="M1627" i="42"/>
  <c r="M1628" i="42"/>
  <c r="M1629" i="42"/>
  <c r="M1630" i="42"/>
  <c r="M1631" i="42"/>
  <c r="M1632" i="42"/>
  <c r="M1633" i="42"/>
  <c r="M1634" i="42"/>
  <c r="M1612" i="42"/>
  <c r="M1613" i="42"/>
  <c r="M1614" i="42"/>
  <c r="M1615" i="42"/>
  <c r="P1584" i="42"/>
  <c r="O1584" i="42"/>
  <c r="M1584" i="42"/>
  <c r="P1569" i="42"/>
  <c r="P1570" i="42"/>
  <c r="P1571" i="42"/>
  <c r="P1572" i="42"/>
  <c r="P1573" i="42"/>
  <c r="P1574" i="42"/>
  <c r="P1575" i="42"/>
  <c r="P1576" i="42"/>
  <c r="P1577" i="42"/>
  <c r="P1578" i="42"/>
  <c r="P1579" i="42"/>
  <c r="P1580" i="42"/>
  <c r="P1581" i="42"/>
  <c r="P1582" i="42"/>
  <c r="P1583" i="42"/>
  <c r="O1569" i="42"/>
  <c r="O1570" i="42"/>
  <c r="O1571" i="42"/>
  <c r="O1572" i="42"/>
  <c r="O1573" i="42"/>
  <c r="O1574" i="42"/>
  <c r="O1575" i="42"/>
  <c r="O1576" i="42"/>
  <c r="O1577" i="42"/>
  <c r="O1578" i="42"/>
  <c r="O1579" i="42"/>
  <c r="O1580" i="42"/>
  <c r="O1581" i="42"/>
  <c r="O1582" i="42"/>
  <c r="O1583" i="42"/>
  <c r="M1569" i="42"/>
  <c r="M1570" i="42"/>
  <c r="M1571" i="42"/>
  <c r="M1572" i="42"/>
  <c r="M1573" i="42"/>
  <c r="M1574" i="42"/>
  <c r="M1575" i="42"/>
  <c r="M1576" i="42"/>
  <c r="M1577" i="42"/>
  <c r="M1578" i="42"/>
  <c r="M1579" i="42"/>
  <c r="M1580" i="42"/>
  <c r="M1581" i="42"/>
  <c r="M1582" i="42"/>
  <c r="M1583" i="42"/>
  <c r="P1586" i="42"/>
  <c r="P1587" i="42"/>
  <c r="P1588" i="42"/>
  <c r="P1589" i="42"/>
  <c r="P1590" i="42"/>
  <c r="P1591" i="42"/>
  <c r="P1592" i="42"/>
  <c r="P1593" i="42"/>
  <c r="P1594" i="42"/>
  <c r="P1595" i="42"/>
  <c r="P1596" i="42"/>
  <c r="P1597" i="42"/>
  <c r="P1598" i="42"/>
  <c r="P1599" i="42"/>
  <c r="O1585" i="42"/>
  <c r="O1586" i="42"/>
  <c r="O1587" i="42"/>
  <c r="O1588" i="42"/>
  <c r="O1589" i="42"/>
  <c r="O1590" i="42"/>
  <c r="O1591" i="42"/>
  <c r="O1592" i="42"/>
  <c r="O1593" i="42"/>
  <c r="O1594" i="42"/>
  <c r="O1595" i="42"/>
  <c r="O1596" i="42"/>
  <c r="O1597" i="42"/>
  <c r="O1598" i="42"/>
  <c r="O1599" i="42"/>
  <c r="M1586" i="42"/>
  <c r="M1587" i="42"/>
  <c r="M1588" i="42"/>
  <c r="M1589" i="42"/>
  <c r="M1590" i="42"/>
  <c r="M1591" i="42"/>
  <c r="M1592" i="42"/>
  <c r="M1593" i="42"/>
  <c r="M1594" i="42"/>
  <c r="M1595" i="42"/>
  <c r="M1596" i="42"/>
  <c r="M1597" i="42"/>
  <c r="M1598" i="42"/>
  <c r="M1599" i="42"/>
  <c r="M1585" i="42"/>
  <c r="P1585" i="42"/>
  <c r="M1568" i="42"/>
  <c r="M1554" i="42"/>
  <c r="M1555" i="42"/>
  <c r="M1556" i="42"/>
  <c r="M1557" i="42"/>
  <c r="M1558" i="42"/>
  <c r="M1559" i="42"/>
  <c r="M1560" i="42"/>
  <c r="M1561" i="42"/>
  <c r="M1562" i="42"/>
  <c r="M1563" i="42"/>
  <c r="M1564" i="42"/>
  <c r="M1565" i="42"/>
  <c r="M1566" i="42"/>
  <c r="M1567" i="42"/>
  <c r="O1554" i="42"/>
  <c r="O1555" i="42"/>
  <c r="O1556" i="42"/>
  <c r="O1557" i="42"/>
  <c r="O1558" i="42"/>
  <c r="O1559" i="42"/>
  <c r="O1560" i="42"/>
  <c r="O1561" i="42"/>
  <c r="O1562" i="42"/>
  <c r="O1563" i="42"/>
  <c r="O1564" i="42"/>
  <c r="O1565" i="42"/>
  <c r="O1566" i="42"/>
  <c r="O1567" i="42"/>
  <c r="O1568" i="42"/>
  <c r="P1555" i="42"/>
  <c r="P1556" i="42"/>
  <c r="P1557" i="42"/>
  <c r="P1558" i="42"/>
  <c r="P1559" i="42"/>
  <c r="P1560" i="42"/>
  <c r="P1561" i="42"/>
  <c r="P1562" i="42"/>
  <c r="P1563" i="42"/>
  <c r="P1564" i="42"/>
  <c r="P1565" i="42"/>
  <c r="P1566" i="42"/>
  <c r="P1567" i="42"/>
  <c r="P1568" i="42"/>
  <c r="P1554" i="42"/>
  <c r="P872" i="38" l="1"/>
  <c r="Q872" i="38" s="1"/>
  <c r="P880" i="38"/>
  <c r="Q880" i="38" s="1"/>
  <c r="P871" i="38"/>
  <c r="Q871" i="38" s="1"/>
  <c r="P870" i="38"/>
  <c r="Q870" i="38" s="1"/>
  <c r="Q1838" i="42"/>
  <c r="Q1834" i="42"/>
  <c r="Q1830" i="42"/>
  <c r="Q1826" i="42"/>
  <c r="Q1822" i="42"/>
  <c r="Q1818" i="42"/>
  <c r="Q1841" i="42"/>
  <c r="Q1833" i="42"/>
  <c r="Q1825" i="42"/>
  <c r="Q1821" i="42"/>
  <c r="Q1837" i="42"/>
  <c r="Q1829" i="42"/>
  <c r="Q1817" i="42"/>
  <c r="Q1814" i="42"/>
  <c r="Q1813" i="42"/>
  <c r="Q1840" i="42"/>
  <c r="Q1836" i="42"/>
  <c r="Q1832" i="42"/>
  <c r="Q1828" i="42"/>
  <c r="Q1824" i="42"/>
  <c r="Q1820" i="42"/>
  <c r="Q1816" i="42"/>
  <c r="Q1839" i="42"/>
  <c r="Q1835" i="42"/>
  <c r="Q1831" i="42"/>
  <c r="Q1827" i="42"/>
  <c r="Q1823" i="42"/>
  <c r="Q1819" i="42"/>
  <c r="Q1815" i="42"/>
  <c r="Q1812" i="42"/>
  <c r="Q1809" i="42"/>
  <c r="Q1805" i="42"/>
  <c r="Q1801" i="42"/>
  <c r="Q1797" i="42"/>
  <c r="Q1793" i="42"/>
  <c r="Q1789" i="42"/>
  <c r="Q1785" i="42"/>
  <c r="Q1781" i="42"/>
  <c r="Q1777" i="42"/>
  <c r="Q1773" i="42"/>
  <c r="Q1769" i="42"/>
  <c r="Q1765" i="42"/>
  <c r="Q1761" i="42"/>
  <c r="Q1757" i="42"/>
  <c r="Q1753" i="42"/>
  <c r="Q1749" i="42"/>
  <c r="Q1745" i="42"/>
  <c r="Q1741" i="42"/>
  <c r="Q1737" i="42"/>
  <c r="Q1733" i="42"/>
  <c r="Q1811" i="42"/>
  <c r="Q1807" i="42"/>
  <c r="Q1803" i="42"/>
  <c r="Q1799" i="42"/>
  <c r="Q1795" i="42"/>
  <c r="Q1791" i="42"/>
  <c r="Q1787" i="42"/>
  <c r="Q1783" i="42"/>
  <c r="Q1779" i="42"/>
  <c r="Q1775" i="42"/>
  <c r="Q1771" i="42"/>
  <c r="Q1808" i="42"/>
  <c r="Q1804" i="42"/>
  <c r="Q1800" i="42"/>
  <c r="Q1796" i="42"/>
  <c r="Q1792" i="42"/>
  <c r="Q1788" i="42"/>
  <c r="Q1784" i="42"/>
  <c r="Q1780" i="42"/>
  <c r="Q1776" i="42"/>
  <c r="Q1772" i="42"/>
  <c r="Q1768" i="42"/>
  <c r="Q1764" i="42"/>
  <c r="Q1760" i="42"/>
  <c r="Q1756" i="42"/>
  <c r="Q1752" i="42"/>
  <c r="Q1748" i="42"/>
  <c r="Q1744" i="42"/>
  <c r="Q1740" i="42"/>
  <c r="Q1736" i="42"/>
  <c r="Q1732" i="42"/>
  <c r="Q1767" i="42"/>
  <c r="Q1763" i="42"/>
  <c r="Q1759" i="42"/>
  <c r="Q1755" i="42"/>
  <c r="Q1751" i="42"/>
  <c r="Q1747" i="42"/>
  <c r="Q1743" i="42"/>
  <c r="Q1739" i="42"/>
  <c r="Q1735" i="42"/>
  <c r="Q1731" i="42"/>
  <c r="Q1810" i="42"/>
  <c r="Q1806" i="42"/>
  <c r="Q1802" i="42"/>
  <c r="Q1798" i="42"/>
  <c r="Q1794" i="42"/>
  <c r="Q1790" i="42"/>
  <c r="Q1786" i="42"/>
  <c r="Q1782" i="42"/>
  <c r="Q1778" i="42"/>
  <c r="Q1774" i="42"/>
  <c r="Q1770" i="42"/>
  <c r="Q1766" i="42"/>
  <c r="Q1762" i="42"/>
  <c r="Q1758" i="42"/>
  <c r="Q1754" i="42"/>
  <c r="Q1750" i="42"/>
  <c r="Q1746" i="42"/>
  <c r="Q1742" i="42"/>
  <c r="Q1738" i="42"/>
  <c r="Q1734" i="42"/>
  <c r="Q1730" i="42"/>
  <c r="Q1719" i="42"/>
  <c r="Q1729" i="42"/>
  <c r="Q1723" i="42"/>
  <c r="Q1722" i="42"/>
  <c r="Q1725" i="42"/>
  <c r="Q1718" i="42"/>
  <c r="Q1727" i="42"/>
  <c r="Q1728" i="42"/>
  <c r="Q1717" i="42"/>
  <c r="Q1726" i="42"/>
  <c r="Q1721" i="42"/>
  <c r="Q1720" i="42"/>
  <c r="Q1724" i="42"/>
  <c r="Q1703" i="42"/>
  <c r="Q1684" i="42"/>
  <c r="Q1664" i="42"/>
  <c r="Q1644" i="42"/>
  <c r="Q1698" i="42"/>
  <c r="Q1646" i="42"/>
  <c r="Q1679" i="42"/>
  <c r="Q1650" i="42"/>
  <c r="Q1693" i="42"/>
  <c r="Q1648" i="42"/>
  <c r="Q1643" i="42"/>
  <c r="Q1681" i="42"/>
  <c r="Q1712" i="42"/>
  <c r="Q1673" i="42"/>
  <c r="Q1692" i="42"/>
  <c r="Q1707" i="42"/>
  <c r="Q1688" i="42"/>
  <c r="Q1668" i="42"/>
  <c r="Q1705" i="42"/>
  <c r="Q1686" i="42"/>
  <c r="Q1666" i="42"/>
  <c r="Q1704" i="42"/>
  <c r="Q1636" i="42"/>
  <c r="Q1702" i="42"/>
  <c r="Q1682" i="42"/>
  <c r="Q1661" i="42"/>
  <c r="Q1640" i="42"/>
  <c r="Q1637" i="42"/>
  <c r="Q1635" i="42"/>
  <c r="Q1713" i="42"/>
  <c r="Q1694" i="42"/>
  <c r="Q1674" i="42"/>
  <c r="Q1654" i="42"/>
  <c r="Q1715" i="42"/>
  <c r="Q1663" i="42"/>
  <c r="Q1701" i="42"/>
  <c r="Q1700" i="42"/>
  <c r="Q1716" i="42"/>
  <c r="Q1659" i="42"/>
  <c r="Q1678" i="42"/>
  <c r="Q1655" i="42"/>
  <c r="Q1653" i="42"/>
  <c r="Q1691" i="42"/>
  <c r="Q1709" i="42"/>
  <c r="Q1690" i="42"/>
  <c r="Q1670" i="42"/>
  <c r="Q1708" i="42"/>
  <c r="Q1689" i="42"/>
  <c r="Q1669" i="42"/>
  <c r="Q1649" i="42"/>
  <c r="Q1683" i="42"/>
  <c r="Q1662" i="42"/>
  <c r="Q1641" i="42"/>
  <c r="Q1660" i="42"/>
  <c r="Q1657" i="42"/>
  <c r="Q1656" i="42"/>
  <c r="Q1710" i="42"/>
  <c r="Q1680" i="42"/>
  <c r="Q1639" i="42"/>
  <c r="Q1658" i="42"/>
  <c r="Q1697" i="42"/>
  <c r="Q1676" i="42"/>
  <c r="Q1675" i="42"/>
  <c r="Q1651" i="42"/>
  <c r="Q1706" i="42"/>
  <c r="Q1687" i="42"/>
  <c r="Q1667" i="42"/>
  <c r="Q1647" i="42"/>
  <c r="Q1642" i="42"/>
  <c r="Q1714" i="42"/>
  <c r="Q1711" i="42"/>
  <c r="Q1652" i="42"/>
  <c r="Q1671" i="42"/>
  <c r="Q1699" i="42"/>
  <c r="Q1638" i="42"/>
  <c r="Q1677" i="42"/>
  <c r="Q1696" i="42"/>
  <c r="Q1695" i="42"/>
  <c r="Q1672" i="42"/>
  <c r="Q1685" i="42"/>
  <c r="Q1665" i="42"/>
  <c r="Q1645" i="42"/>
  <c r="P873" i="38"/>
  <c r="Q873" i="38" s="1"/>
  <c r="P877" i="38"/>
  <c r="Q877" i="38" s="1"/>
  <c r="P879" i="38"/>
  <c r="Q879" i="38" s="1"/>
  <c r="P878" i="38"/>
  <c r="Q878" i="38" s="1"/>
  <c r="P876" i="38"/>
  <c r="Q876" i="38" s="1"/>
  <c r="P875" i="38"/>
  <c r="Q875" i="38" s="1"/>
  <c r="P874" i="38"/>
  <c r="Q874" i="38" s="1"/>
  <c r="P869" i="38"/>
  <c r="Q869" i="38" s="1"/>
  <c r="P868" i="38"/>
  <c r="Q868" i="38" s="1"/>
  <c r="P867" i="38"/>
  <c r="Q867" i="38" s="1"/>
  <c r="P833" i="38"/>
  <c r="Q833" i="38" s="1"/>
  <c r="P794" i="38"/>
  <c r="Q794" i="38" s="1"/>
  <c r="P830" i="38"/>
  <c r="Q830" i="38" s="1"/>
  <c r="P849" i="38"/>
  <c r="Q849" i="38" s="1"/>
  <c r="P829" i="38"/>
  <c r="Q829" i="38" s="1"/>
  <c r="P811" i="38"/>
  <c r="Q811" i="38" s="1"/>
  <c r="P791" i="38"/>
  <c r="Q791" i="38" s="1"/>
  <c r="P828" i="38"/>
  <c r="Q828" i="38" s="1"/>
  <c r="P810" i="38"/>
  <c r="Q810" i="38" s="1"/>
  <c r="P813" i="38"/>
  <c r="Q813" i="38" s="1"/>
  <c r="P832" i="38"/>
  <c r="Q832" i="38" s="1"/>
  <c r="P831" i="38"/>
  <c r="Q831" i="38" s="1"/>
  <c r="P812" i="38"/>
  <c r="Q812" i="38" s="1"/>
  <c r="P847" i="38"/>
  <c r="Q847" i="38" s="1"/>
  <c r="P827" i="38"/>
  <c r="Q827" i="38" s="1"/>
  <c r="P853" i="38"/>
  <c r="Q853" i="38" s="1"/>
  <c r="P852" i="38"/>
  <c r="Q852" i="38" s="1"/>
  <c r="P851" i="38"/>
  <c r="Q851" i="38" s="1"/>
  <c r="P850" i="38"/>
  <c r="Q850" i="38" s="1"/>
  <c r="P848" i="38"/>
  <c r="Q848" i="38" s="1"/>
  <c r="P866" i="38"/>
  <c r="Q866" i="38" s="1"/>
  <c r="P846" i="38"/>
  <c r="Q846" i="38" s="1"/>
  <c r="P826" i="38"/>
  <c r="Q826" i="38" s="1"/>
  <c r="P865" i="38"/>
  <c r="Q865" i="38" s="1"/>
  <c r="P845" i="38"/>
  <c r="Q845" i="38" s="1"/>
  <c r="P825" i="38"/>
  <c r="Q825" i="38" s="1"/>
  <c r="P807" i="38"/>
  <c r="Q807" i="38" s="1"/>
  <c r="P864" i="38"/>
  <c r="Q864" i="38" s="1"/>
  <c r="P806" i="38"/>
  <c r="Q806" i="38" s="1"/>
  <c r="P844" i="38"/>
  <c r="Q844" i="38" s="1"/>
  <c r="P824" i="38"/>
  <c r="Q824" i="38" s="1"/>
  <c r="P786" i="38"/>
  <c r="Q786" i="38" s="1"/>
  <c r="P790" i="38"/>
  <c r="Q790" i="38" s="1"/>
  <c r="P789" i="38"/>
  <c r="Q789" i="38" s="1"/>
  <c r="P788" i="38"/>
  <c r="Q788" i="38" s="1"/>
  <c r="P787" i="38"/>
  <c r="Q787" i="38" s="1"/>
  <c r="P802" i="38"/>
  <c r="Q802" i="38" s="1"/>
  <c r="P801" i="38"/>
  <c r="Q801" i="38" s="1"/>
  <c r="P800" i="38"/>
  <c r="Q800" i="38" s="1"/>
  <c r="P799" i="38"/>
  <c r="Q799" i="38" s="1"/>
  <c r="P798" i="38"/>
  <c r="Q798" i="38" s="1"/>
  <c r="P797" i="38"/>
  <c r="Q797" i="38" s="1"/>
  <c r="P796" i="38"/>
  <c r="Q796" i="38" s="1"/>
  <c r="P795" i="38"/>
  <c r="Q795" i="38" s="1"/>
  <c r="P793" i="38"/>
  <c r="Q793" i="38" s="1"/>
  <c r="P792" i="38"/>
  <c r="Q792" i="38" s="1"/>
  <c r="P809" i="38"/>
  <c r="Q809" i="38" s="1"/>
  <c r="P808" i="38"/>
  <c r="Q808" i="38" s="1"/>
  <c r="P863" i="38"/>
  <c r="Q863" i="38" s="1"/>
  <c r="P862" i="38"/>
  <c r="Q862" i="38" s="1"/>
  <c r="P842" i="38"/>
  <c r="Q842" i="38" s="1"/>
  <c r="P822" i="38"/>
  <c r="Q822" i="38" s="1"/>
  <c r="P861" i="38"/>
  <c r="Q861" i="38" s="1"/>
  <c r="P860" i="38"/>
  <c r="Q860" i="38" s="1"/>
  <c r="P840" i="38"/>
  <c r="Q840" i="38" s="1"/>
  <c r="P820" i="38"/>
  <c r="Q820" i="38" s="1"/>
  <c r="P859" i="38"/>
  <c r="Q859" i="38" s="1"/>
  <c r="P839" i="38"/>
  <c r="Q839" i="38" s="1"/>
  <c r="P819" i="38"/>
  <c r="Q819" i="38" s="1"/>
  <c r="P843" i="38"/>
  <c r="Q843" i="38" s="1"/>
  <c r="P841" i="38"/>
  <c r="Q841" i="38" s="1"/>
  <c r="P838" i="38"/>
  <c r="Q838" i="38" s="1"/>
  <c r="P857" i="38"/>
  <c r="Q857" i="38" s="1"/>
  <c r="P837" i="38"/>
  <c r="Q837" i="38" s="1"/>
  <c r="P817" i="38"/>
  <c r="Q817" i="38" s="1"/>
  <c r="P856" i="38"/>
  <c r="Q856" i="38" s="1"/>
  <c r="P836" i="38"/>
  <c r="Q836" i="38" s="1"/>
  <c r="P816" i="38"/>
  <c r="Q816" i="38" s="1"/>
  <c r="P823" i="38"/>
  <c r="Q823" i="38" s="1"/>
  <c r="P821" i="38"/>
  <c r="Q821" i="38" s="1"/>
  <c r="P858" i="38"/>
  <c r="Q858" i="38" s="1"/>
  <c r="P818" i="38"/>
  <c r="Q818" i="38" s="1"/>
  <c r="P855" i="38"/>
  <c r="Q855" i="38" s="1"/>
  <c r="P835" i="38"/>
  <c r="Q835" i="38" s="1"/>
  <c r="P815" i="38"/>
  <c r="Q815" i="38" s="1"/>
  <c r="P854" i="38"/>
  <c r="Q854" i="38" s="1"/>
  <c r="P834" i="38"/>
  <c r="Q834" i="38" s="1"/>
  <c r="P814" i="38"/>
  <c r="Q814" i="38" s="1"/>
  <c r="P805" i="38"/>
  <c r="Q805" i="38" s="1"/>
  <c r="Q1595" i="42"/>
  <c r="Q1596" i="42"/>
  <c r="Q1600" i="42"/>
  <c r="Q1575" i="42"/>
  <c r="Q1587" i="42"/>
  <c r="Q1632" i="42"/>
  <c r="Q1602" i="42"/>
  <c r="Q1604" i="42"/>
  <c r="Q1603" i="42"/>
  <c r="Q1594" i="42"/>
  <c r="Q1606" i="42"/>
  <c r="Q1601" i="42"/>
  <c r="Q1611" i="42"/>
  <c r="Q1610" i="42"/>
  <c r="Q1609" i="42"/>
  <c r="Q1608" i="42"/>
  <c r="Q1605" i="42"/>
  <c r="Q1607" i="42"/>
  <c r="Q1593" i="42"/>
  <c r="Q1627" i="42"/>
  <c r="Q1625" i="42"/>
  <c r="Q1590" i="42"/>
  <c r="Q1579" i="42"/>
  <c r="Q1589" i="42"/>
  <c r="Q1577" i="42"/>
  <c r="Q1629" i="42"/>
  <c r="Q1626" i="42"/>
  <c r="Q1591" i="42"/>
  <c r="Q1588" i="42"/>
  <c r="Q1576" i="42"/>
  <c r="Q1623" i="42"/>
  <c r="Q1621" i="42"/>
  <c r="Q1614" i="42"/>
  <c r="Q1613" i="42"/>
  <c r="Q1615" i="42"/>
  <c r="Q1634" i="42"/>
  <c r="Q1633" i="42"/>
  <c r="Q1586" i="42"/>
  <c r="Q1573" i="42"/>
  <c r="Q1631" i="42"/>
  <c r="Q1630" i="42"/>
  <c r="Q1624" i="42"/>
  <c r="Q1622" i="42"/>
  <c r="Q1620" i="42"/>
  <c r="Q1617" i="42"/>
  <c r="Q1619" i="42"/>
  <c r="Q1618" i="42"/>
  <c r="Q1616" i="42"/>
  <c r="Q1612" i="42"/>
  <c r="Q1628" i="42"/>
  <c r="Q1597" i="42"/>
  <c r="Q1578" i="42"/>
  <c r="Q1582" i="42"/>
  <c r="Q1592" i="42"/>
  <c r="Q1574" i="42"/>
  <c r="Q1583" i="42"/>
  <c r="Q1580" i="42"/>
  <c r="Q1599" i="42"/>
  <c r="Q1598" i="42"/>
  <c r="Q1581" i="42"/>
  <c r="Q1584" i="42"/>
  <c r="Q1572" i="42"/>
  <c r="Q1571" i="42"/>
  <c r="Q1570" i="42"/>
  <c r="Q1585" i="42"/>
  <c r="Q1569" i="42"/>
  <c r="Q1563" i="42"/>
  <c r="Q1565" i="42"/>
  <c r="Q1564" i="42"/>
  <c r="Q1562" i="42"/>
  <c r="Q1557" i="42"/>
  <c r="Q1558" i="42"/>
  <c r="Q1555" i="42"/>
  <c r="Q1568" i="42"/>
  <c r="Q1567" i="42"/>
  <c r="Q1554" i="42"/>
  <c r="Q1556" i="42"/>
  <c r="Q1566" i="42"/>
  <c r="Q1560" i="42"/>
  <c r="Q1561" i="42"/>
  <c r="Q1559" i="42"/>
  <c r="M8" i="42"/>
  <c r="M9" i="42"/>
  <c r="M10" i="42"/>
  <c r="M11" i="42"/>
  <c r="M13" i="42"/>
  <c r="M12" i="42"/>
  <c r="M14" i="42"/>
  <c r="M15" i="42"/>
  <c r="M18" i="42"/>
  <c r="M16" i="42"/>
  <c r="M17" i="42"/>
  <c r="M19" i="42"/>
  <c r="M67" i="42"/>
  <c r="M115" i="42"/>
  <c r="M116" i="42"/>
  <c r="M117" i="42"/>
  <c r="M118" i="42"/>
  <c r="M119" i="42"/>
  <c r="M112" i="42"/>
  <c r="M113" i="42"/>
  <c r="M114" i="42"/>
  <c r="M109" i="42"/>
  <c r="M110" i="42"/>
  <c r="M111" i="42"/>
  <c r="M103" i="42"/>
  <c r="M104" i="42"/>
  <c r="M105" i="42"/>
  <c r="M106" i="42"/>
  <c r="M107" i="42"/>
  <c r="M108" i="42"/>
  <c r="M102" i="42"/>
  <c r="M100" i="42"/>
  <c r="M101" i="42"/>
  <c r="M95" i="42"/>
  <c r="M96" i="42"/>
  <c r="M97" i="42"/>
  <c r="M98" i="42"/>
  <c r="M99" i="42"/>
  <c r="M93" i="42"/>
  <c r="M94" i="42"/>
  <c r="M89" i="42"/>
  <c r="M90" i="42"/>
  <c r="M91" i="42"/>
  <c r="M92" i="42"/>
  <c r="M84" i="42"/>
  <c r="M85" i="42"/>
  <c r="M86" i="42"/>
  <c r="M87" i="42"/>
  <c r="M88" i="42"/>
  <c r="M83" i="42"/>
  <c r="M82" i="42"/>
  <c r="M81" i="42"/>
  <c r="M80" i="42"/>
  <c r="M76" i="42"/>
  <c r="M77" i="42"/>
  <c r="M78" i="42"/>
  <c r="M79" i="42"/>
  <c r="M68" i="42"/>
  <c r="M69" i="42"/>
  <c r="M70" i="42"/>
  <c r="M71" i="42"/>
  <c r="M72" i="42"/>
  <c r="M73" i="42"/>
  <c r="M74" i="42"/>
  <c r="M75" i="42"/>
  <c r="M22" i="42"/>
  <c r="M23" i="42"/>
  <c r="M24" i="42"/>
  <c r="M25" i="42"/>
  <c r="M26" i="42"/>
  <c r="M27" i="42"/>
  <c r="M28" i="42"/>
  <c r="M29" i="42"/>
  <c r="M30" i="42"/>
  <c r="M31" i="42"/>
  <c r="M32" i="42"/>
  <c r="M33" i="42"/>
  <c r="M34" i="42"/>
  <c r="M35" i="42"/>
  <c r="M36" i="42"/>
  <c r="M37" i="42"/>
  <c r="M38" i="42"/>
  <c r="M39" i="42"/>
  <c r="M40" i="42"/>
  <c r="M41" i="42"/>
  <c r="M42" i="42"/>
  <c r="M43" i="42"/>
  <c r="M44" i="42"/>
  <c r="M45" i="42"/>
  <c r="M46" i="42"/>
  <c r="M47" i="42"/>
  <c r="M48" i="42"/>
  <c r="M49" i="42"/>
  <c r="M50" i="42"/>
  <c r="M51" i="42"/>
  <c r="M52" i="42"/>
  <c r="M53" i="42"/>
  <c r="M54" i="42"/>
  <c r="M55" i="42"/>
  <c r="M56" i="42"/>
  <c r="M57" i="42"/>
  <c r="M58" i="42"/>
  <c r="M59" i="42"/>
  <c r="M60" i="42"/>
  <c r="M61" i="42"/>
  <c r="M62" i="42"/>
  <c r="M63" i="42"/>
  <c r="M64" i="42"/>
  <c r="M65" i="42"/>
  <c r="M66" i="42"/>
  <c r="M20" i="42"/>
  <c r="M21" i="42"/>
  <c r="M120" i="42"/>
  <c r="M121" i="42"/>
  <c r="M124" i="42"/>
  <c r="M122" i="42"/>
  <c r="M123" i="42"/>
  <c r="M125" i="42"/>
  <c r="M126" i="42"/>
  <c r="M127" i="42"/>
  <c r="M128" i="42"/>
  <c r="M130" i="42"/>
  <c r="M131" i="42"/>
  <c r="M132" i="42"/>
  <c r="M129" i="42"/>
  <c r="M166" i="42"/>
  <c r="M167" i="42"/>
  <c r="M168" i="42"/>
  <c r="M169" i="42"/>
  <c r="M170" i="42"/>
  <c r="M171" i="42"/>
  <c r="M172" i="42"/>
  <c r="M173" i="42"/>
  <c r="M160" i="42"/>
  <c r="M161" i="42"/>
  <c r="M162" i="42"/>
  <c r="M163" i="42"/>
  <c r="M164" i="42"/>
  <c r="M165" i="42"/>
  <c r="M156" i="42"/>
  <c r="M157" i="42"/>
  <c r="M158" i="42"/>
  <c r="M159" i="42"/>
  <c r="M153" i="42"/>
  <c r="M154" i="42"/>
  <c r="M155" i="42"/>
  <c r="M147" i="42"/>
  <c r="M148" i="42"/>
  <c r="M149" i="42"/>
  <c r="M150" i="42"/>
  <c r="M151" i="42"/>
  <c r="M152" i="42"/>
  <c r="M146" i="42"/>
  <c r="M145" i="42"/>
  <c r="M144" i="42"/>
  <c r="M143" i="42"/>
  <c r="M138" i="42"/>
  <c r="M139" i="42"/>
  <c r="M140" i="42"/>
  <c r="M141" i="42"/>
  <c r="M142" i="42"/>
  <c r="M133" i="42"/>
  <c r="M134" i="42"/>
  <c r="M135" i="42"/>
  <c r="M136" i="42"/>
  <c r="M137" i="42"/>
  <c r="M176" i="42"/>
  <c r="M177" i="42"/>
  <c r="M178" i="42"/>
  <c r="M179" i="42"/>
  <c r="M175" i="42"/>
  <c r="M174" i="42"/>
  <c r="M180" i="42"/>
  <c r="M181" i="42"/>
  <c r="M182" i="42"/>
  <c r="M184" i="42"/>
  <c r="M183" i="42"/>
  <c r="M211" i="42"/>
  <c r="M212" i="42"/>
  <c r="M209" i="42"/>
  <c r="M210" i="42"/>
  <c r="M201" i="42"/>
  <c r="M197" i="42"/>
  <c r="M198" i="42"/>
  <c r="M199" i="42"/>
  <c r="M194" i="42"/>
  <c r="M195" i="42"/>
  <c r="M196" i="42"/>
  <c r="M192" i="42"/>
  <c r="M189" i="42"/>
  <c r="M190" i="42"/>
  <c r="M187" i="42"/>
  <c r="M188" i="42"/>
  <c r="M207" i="42"/>
  <c r="M208" i="42"/>
  <c r="M206" i="42"/>
  <c r="M204" i="42"/>
  <c r="M205" i="42"/>
  <c r="M202" i="42"/>
  <c r="M203" i="42"/>
  <c r="M200" i="42"/>
  <c r="M193" i="42"/>
  <c r="M191" i="42"/>
  <c r="M185" i="42"/>
  <c r="M186" i="42"/>
  <c r="M213" i="42"/>
  <c r="M214" i="42"/>
  <c r="M215" i="42"/>
  <c r="M216" i="42"/>
  <c r="M217" i="42"/>
  <c r="M218" i="42"/>
  <c r="M219" i="42"/>
  <c r="M222" i="42"/>
  <c r="M223" i="42"/>
  <c r="M224" i="42"/>
  <c r="M220" i="42"/>
  <c r="M221" i="42"/>
  <c r="M225" i="42"/>
  <c r="M244" i="42"/>
  <c r="M240" i="42"/>
  <c r="M247" i="42"/>
  <c r="M245" i="42"/>
  <c r="M243" i="42"/>
  <c r="M242" i="42"/>
  <c r="M227" i="42"/>
  <c r="M228" i="42"/>
  <c r="M229" i="42"/>
  <c r="M230" i="42"/>
  <c r="M231" i="42"/>
  <c r="M232" i="42"/>
  <c r="M233" i="42"/>
  <c r="M234" i="42"/>
  <c r="M235" i="42"/>
  <c r="M236" i="42"/>
  <c r="M237" i="42"/>
  <c r="M238" i="42"/>
  <c r="M239" i="42"/>
  <c r="M226" i="42"/>
  <c r="M248" i="42"/>
  <c r="M249" i="42"/>
  <c r="M246" i="42"/>
  <c r="M241" i="42"/>
  <c r="M250" i="42"/>
  <c r="M251" i="42"/>
  <c r="M252" i="42"/>
  <c r="M253" i="42"/>
  <c r="M255" i="42"/>
  <c r="M256" i="42"/>
  <c r="M254" i="42"/>
  <c r="M286" i="42"/>
  <c r="M266" i="42"/>
  <c r="M257" i="42"/>
  <c r="M258" i="42"/>
  <c r="M279" i="42"/>
  <c r="M287" i="42"/>
  <c r="M267" i="42"/>
  <c r="M259" i="42"/>
  <c r="M260" i="42"/>
  <c r="M261" i="42"/>
  <c r="M262" i="42"/>
  <c r="M263" i="42"/>
  <c r="M280" i="42"/>
  <c r="M281" i="42"/>
  <c r="M288" i="42"/>
  <c r="M268" i="42"/>
  <c r="M269" i="42"/>
  <c r="M270" i="42"/>
  <c r="M282" i="42"/>
  <c r="M283" i="42"/>
  <c r="M289" i="42"/>
  <c r="M290" i="42"/>
  <c r="M276" i="42"/>
  <c r="M271" i="42"/>
  <c r="M272" i="42"/>
  <c r="M264" i="42"/>
  <c r="M291" i="42"/>
  <c r="M292" i="42"/>
  <c r="M277" i="42"/>
  <c r="M278" i="42"/>
  <c r="M273" i="42"/>
  <c r="M274" i="42"/>
  <c r="M275" i="42"/>
  <c r="M265" i="42"/>
  <c r="M284" i="42"/>
  <c r="M285" i="42"/>
  <c r="M293" i="42"/>
  <c r="M294" i="42"/>
  <c r="M295" i="42"/>
  <c r="M296" i="42"/>
  <c r="M297" i="42"/>
  <c r="M298" i="42"/>
  <c r="M331" i="42"/>
  <c r="M325" i="42"/>
  <c r="M319" i="42"/>
  <c r="M316" i="42"/>
  <c r="M301" i="42"/>
  <c r="M302" i="42"/>
  <c r="M303" i="42"/>
  <c r="M304" i="42"/>
  <c r="M305" i="42"/>
  <c r="M306" i="42"/>
  <c r="M307" i="42"/>
  <c r="M308" i="42"/>
  <c r="M332" i="42"/>
  <c r="M326" i="42"/>
  <c r="M327" i="42"/>
  <c r="M324" i="42"/>
  <c r="M323" i="42"/>
  <c r="M322" i="42"/>
  <c r="M321" i="42"/>
  <c r="M317" i="42"/>
  <c r="M309" i="42"/>
  <c r="M310" i="42"/>
  <c r="M311" i="42"/>
  <c r="M312" i="42"/>
  <c r="M300" i="42"/>
  <c r="M299" i="42"/>
  <c r="M330" i="42"/>
  <c r="M328" i="42"/>
  <c r="M329" i="42"/>
  <c r="M320" i="42"/>
  <c r="M318" i="42"/>
  <c r="M313" i="42"/>
  <c r="M314" i="42"/>
  <c r="M315" i="42"/>
  <c r="M336" i="42"/>
  <c r="M333" i="42"/>
  <c r="M337" i="42"/>
  <c r="M334" i="42"/>
  <c r="M335" i="42"/>
  <c r="M338" i="42"/>
  <c r="M346" i="42"/>
  <c r="M345" i="42"/>
  <c r="M344" i="42"/>
  <c r="M343" i="42"/>
  <c r="M339" i="42"/>
  <c r="M340" i="42"/>
  <c r="M341" i="42"/>
  <c r="M342" i="42"/>
  <c r="M359" i="42"/>
  <c r="M354" i="42"/>
  <c r="M347" i="42"/>
  <c r="M355" i="42"/>
  <c r="M348" i="42"/>
  <c r="M356" i="42"/>
  <c r="M360" i="42"/>
  <c r="M361" i="42"/>
  <c r="M362" i="42"/>
  <c r="M357" i="42"/>
  <c r="M349" i="42"/>
  <c r="M350" i="42"/>
  <c r="M363" i="42"/>
  <c r="M358" i="42"/>
  <c r="M351" i="42"/>
  <c r="M366" i="42"/>
  <c r="M352" i="42"/>
  <c r="M364" i="42"/>
  <c r="M365" i="42"/>
  <c r="M353" i="42"/>
  <c r="M380" i="42"/>
  <c r="M391" i="42"/>
  <c r="M381" i="42"/>
  <c r="M399" i="42"/>
  <c r="M395" i="42"/>
  <c r="M378" i="42"/>
  <c r="M372" i="42"/>
  <c r="M392" i="42"/>
  <c r="M369" i="42"/>
  <c r="M379" i="42"/>
  <c r="M367" i="42"/>
  <c r="M382" i="42"/>
  <c r="M370" i="42"/>
  <c r="M383" i="42"/>
  <c r="M384" i="42"/>
  <c r="M400" i="42"/>
  <c r="M401" i="42"/>
  <c r="M396" i="42"/>
  <c r="M397" i="42"/>
  <c r="M398" i="42"/>
  <c r="M373" i="42"/>
  <c r="M371" i="42"/>
  <c r="M368" i="42"/>
  <c r="M393" i="42"/>
  <c r="M394" i="42"/>
  <c r="M385" i="42"/>
  <c r="M386" i="42"/>
  <c r="M402" i="42"/>
  <c r="M403" i="42"/>
  <c r="M389" i="42"/>
  <c r="M390" i="42"/>
  <c r="M377" i="42"/>
  <c r="M374" i="42"/>
  <c r="M375" i="42"/>
  <c r="M404" i="42"/>
  <c r="M376" i="42"/>
  <c r="M387" i="42"/>
  <c r="M388" i="42"/>
  <c r="M405" i="42"/>
  <c r="M406" i="42"/>
  <c r="M407" i="42"/>
  <c r="M408" i="42"/>
  <c r="M410" i="42"/>
  <c r="M409" i="42"/>
  <c r="M411" i="42"/>
  <c r="M412" i="42"/>
  <c r="M413" i="42"/>
  <c r="M416" i="42"/>
  <c r="M417" i="42"/>
  <c r="M414" i="42"/>
  <c r="M415" i="42"/>
  <c r="M419" i="42"/>
  <c r="M418" i="42"/>
  <c r="M420" i="42"/>
  <c r="M421" i="42"/>
  <c r="M422" i="42"/>
  <c r="M423" i="42"/>
  <c r="M424" i="42"/>
  <c r="M425" i="42"/>
  <c r="M433" i="42"/>
  <c r="M430" i="42"/>
  <c r="M431" i="42"/>
  <c r="M432" i="42"/>
  <c r="M429" i="42"/>
  <c r="M428" i="42"/>
  <c r="M426" i="42"/>
  <c r="M427" i="42"/>
  <c r="M434" i="42"/>
  <c r="M435" i="42"/>
  <c r="M436" i="42"/>
  <c r="M437" i="42"/>
  <c r="M438" i="42"/>
  <c r="M439" i="42"/>
  <c r="M440" i="42"/>
  <c r="M443" i="42"/>
  <c r="M444" i="42"/>
  <c r="M441" i="42"/>
  <c r="M442" i="42"/>
  <c r="M445" i="42"/>
  <c r="M446" i="42"/>
  <c r="M447" i="42"/>
  <c r="M448" i="42"/>
  <c r="M449" i="42"/>
  <c r="M450" i="42"/>
  <c r="M451" i="42"/>
  <c r="M452" i="42"/>
  <c r="M453" i="42"/>
  <c r="M454" i="42"/>
  <c r="M455" i="42"/>
  <c r="M456" i="42"/>
  <c r="M457" i="42"/>
  <c r="M460" i="42"/>
  <c r="M461" i="42"/>
  <c r="M462" i="42"/>
  <c r="M463" i="42"/>
  <c r="M464" i="42"/>
  <c r="M458" i="42"/>
  <c r="M459" i="42"/>
  <c r="M465" i="42"/>
  <c r="M466" i="42"/>
  <c r="M467" i="42"/>
  <c r="M468" i="42"/>
  <c r="M469" i="42"/>
  <c r="M470" i="42"/>
  <c r="M471" i="42"/>
  <c r="M472" i="42"/>
  <c r="M473" i="42"/>
  <c r="M474" i="42"/>
  <c r="M475" i="42"/>
  <c r="M476" i="42"/>
  <c r="M477" i="42"/>
  <c r="M478" i="42"/>
  <c r="M485" i="42"/>
  <c r="M481" i="42"/>
  <c r="M482" i="42"/>
  <c r="M479" i="42"/>
  <c r="M480" i="42"/>
  <c r="M483" i="42"/>
  <c r="M484" i="42"/>
  <c r="M486" i="42"/>
  <c r="M488" i="42"/>
  <c r="M492" i="42"/>
  <c r="M493" i="42"/>
  <c r="M494" i="42"/>
  <c r="M495" i="42"/>
  <c r="M496" i="42"/>
  <c r="M497" i="42"/>
  <c r="M498" i="42"/>
  <c r="M499" i="42"/>
  <c r="M500" i="42"/>
  <c r="M501" i="42"/>
  <c r="M502" i="42"/>
  <c r="M503" i="42"/>
  <c r="M504" i="42"/>
  <c r="M505" i="42"/>
  <c r="M506" i="42"/>
  <c r="M507" i="42"/>
  <c r="M508" i="42"/>
  <c r="M509" i="42"/>
  <c r="M510" i="42"/>
  <c r="M511" i="42"/>
  <c r="M512" i="42"/>
  <c r="M489" i="42"/>
  <c r="M513" i="42"/>
  <c r="M514" i="42"/>
  <c r="M490" i="42"/>
  <c r="M515" i="42"/>
  <c r="M516" i="42"/>
  <c r="M517" i="42"/>
  <c r="M518" i="42"/>
  <c r="M519" i="42"/>
  <c r="M520" i="42"/>
  <c r="M521" i="42"/>
  <c r="M522" i="42"/>
  <c r="M487" i="42"/>
  <c r="M523" i="42"/>
  <c r="M524" i="42"/>
  <c r="M525" i="42"/>
  <c r="M491" i="42"/>
  <c r="M526" i="42"/>
  <c r="M527" i="42"/>
  <c r="M533" i="42"/>
  <c r="M534" i="42"/>
  <c r="M535" i="42"/>
  <c r="M536" i="42"/>
  <c r="M528" i="42"/>
  <c r="M537" i="42"/>
  <c r="M529" i="42"/>
  <c r="M538" i="42"/>
  <c r="M539" i="42"/>
  <c r="M540" i="42"/>
  <c r="M541" i="42"/>
  <c r="M530" i="42"/>
  <c r="M531" i="42"/>
  <c r="M532" i="42"/>
  <c r="M545" i="42"/>
  <c r="M542" i="42"/>
  <c r="M543" i="42"/>
  <c r="M544" i="42"/>
  <c r="M546" i="42"/>
  <c r="M547" i="42"/>
  <c r="M550" i="42"/>
  <c r="M549" i="42"/>
  <c r="M548" i="42"/>
  <c r="M551" i="42"/>
  <c r="M552" i="42"/>
  <c r="M553" i="42"/>
  <c r="M554" i="42"/>
  <c r="M555" i="42"/>
  <c r="M556" i="42"/>
  <c r="M557" i="42"/>
  <c r="M558" i="42"/>
  <c r="M559" i="42"/>
  <c r="M560" i="42"/>
  <c r="M561" i="42"/>
  <c r="M562" i="42"/>
  <c r="M563" i="42"/>
  <c r="M564" i="42"/>
  <c r="M565" i="42"/>
  <c r="M566" i="42"/>
  <c r="M567" i="42"/>
  <c r="M568" i="42"/>
  <c r="M569" i="42"/>
  <c r="M570" i="42"/>
  <c r="M571" i="42"/>
  <c r="M572" i="42"/>
  <c r="M573" i="42"/>
  <c r="M575" i="42"/>
  <c r="M576" i="42"/>
  <c r="M574" i="42"/>
  <c r="M579" i="42"/>
  <c r="M580" i="42"/>
  <c r="M578" i="42"/>
  <c r="M581" i="42"/>
  <c r="M577" i="42"/>
  <c r="M582" i="42"/>
  <c r="M611" i="42"/>
  <c r="M606" i="42"/>
  <c r="M601" i="42"/>
  <c r="M588" i="42"/>
  <c r="M589" i="42"/>
  <c r="M590" i="42"/>
  <c r="M591" i="42"/>
  <c r="M586" i="42"/>
  <c r="M583" i="42"/>
  <c r="M584" i="42"/>
  <c r="M608" i="42"/>
  <c r="M612" i="42"/>
  <c r="M613" i="42"/>
  <c r="M614" i="42"/>
  <c r="M615" i="42"/>
  <c r="M604" i="42"/>
  <c r="M602" i="42"/>
  <c r="M620" i="42"/>
  <c r="M616" i="42"/>
  <c r="M617" i="42"/>
  <c r="M618" i="42"/>
  <c r="M619" i="42"/>
  <c r="M610" i="42"/>
  <c r="M609" i="42"/>
  <c r="M607" i="42"/>
  <c r="M605" i="42"/>
  <c r="M603" i="42"/>
  <c r="M600" i="42"/>
  <c r="M592" i="42"/>
  <c r="M593" i="42"/>
  <c r="M594" i="42"/>
  <c r="M595" i="42"/>
  <c r="M596" i="42"/>
  <c r="M597" i="42"/>
  <c r="M598" i="42"/>
  <c r="M599" i="42"/>
  <c r="M587" i="42"/>
  <c r="M585" i="42"/>
  <c r="M621" i="42"/>
  <c r="M622" i="42"/>
  <c r="M623" i="42"/>
  <c r="M624" i="42"/>
  <c r="M636" i="42"/>
  <c r="M625" i="42"/>
  <c r="M630" i="42"/>
  <c r="M631" i="42"/>
  <c r="M632" i="42"/>
  <c r="M626" i="42"/>
  <c r="M627" i="42"/>
  <c r="M628" i="42"/>
  <c r="M633" i="42"/>
  <c r="M634" i="42"/>
  <c r="M635" i="42"/>
  <c r="M629" i="42"/>
  <c r="M637" i="42"/>
  <c r="M638" i="42"/>
  <c r="M639" i="42"/>
  <c r="M640" i="42"/>
  <c r="M642" i="42"/>
  <c r="M641" i="42"/>
  <c r="M643" i="42"/>
  <c r="M644" i="42"/>
  <c r="M645" i="42"/>
  <c r="M646" i="42"/>
  <c r="M647" i="42"/>
  <c r="M648" i="42"/>
  <c r="M649" i="42"/>
  <c r="M650" i="42"/>
  <c r="M651" i="42"/>
  <c r="M652" i="42"/>
  <c r="M653" i="42"/>
  <c r="M654" i="42"/>
  <c r="M655" i="42"/>
  <c r="M656" i="42"/>
  <c r="M657" i="42"/>
  <c r="M658" i="42"/>
  <c r="M659" i="42"/>
  <c r="M660" i="42"/>
  <c r="M661" i="42"/>
  <c r="M662" i="42"/>
  <c r="M663" i="42"/>
  <c r="M664" i="42"/>
  <c r="M665" i="42"/>
  <c r="M666" i="42"/>
  <c r="M667" i="42"/>
  <c r="M668" i="42"/>
  <c r="M669" i="42"/>
  <c r="M773" i="42"/>
  <c r="M777" i="42"/>
  <c r="M779" i="42"/>
  <c r="M780" i="42"/>
  <c r="M720" i="42"/>
  <c r="M682" i="42"/>
  <c r="M683" i="42"/>
  <c r="M684" i="42"/>
  <c r="M774" i="42"/>
  <c r="M729" i="42"/>
  <c r="M707" i="42"/>
  <c r="M759" i="42"/>
  <c r="M750" i="42"/>
  <c r="M671" i="42"/>
  <c r="M782" i="42"/>
  <c r="M685" i="42"/>
  <c r="M686" i="42"/>
  <c r="M687" i="42"/>
  <c r="M775" i="42"/>
  <c r="M726" i="42"/>
  <c r="M730" i="42"/>
  <c r="M722" i="42"/>
  <c r="M709" i="42"/>
  <c r="M710" i="42"/>
  <c r="M705" i="42"/>
  <c r="M715" i="42"/>
  <c r="M677" i="42"/>
  <c r="M700" i="42"/>
  <c r="M701" i="42"/>
  <c r="M761" i="42"/>
  <c r="M762" i="42"/>
  <c r="M748" i="42"/>
  <c r="M754" i="42"/>
  <c r="M752" i="42"/>
  <c r="M758" i="42"/>
  <c r="M766" i="42"/>
  <c r="M732" i="42"/>
  <c r="M694" i="42"/>
  <c r="M742" i="42"/>
  <c r="M767" i="42"/>
  <c r="M783" i="42"/>
  <c r="M719" i="42"/>
  <c r="M688" i="42"/>
  <c r="M689" i="42"/>
  <c r="M776" i="42"/>
  <c r="M727" i="42"/>
  <c r="M731" i="42"/>
  <c r="M778" i="42"/>
  <c r="M674" i="42"/>
  <c r="M675" i="42"/>
  <c r="M723" i="42"/>
  <c r="M711" i="42"/>
  <c r="M712" i="42"/>
  <c r="M706" i="42"/>
  <c r="M716" i="42"/>
  <c r="M717" i="42"/>
  <c r="M678" i="42"/>
  <c r="M679" i="42"/>
  <c r="M763" i="42"/>
  <c r="M749" i="42"/>
  <c r="M755" i="42"/>
  <c r="M751" i="42"/>
  <c r="M756" i="42"/>
  <c r="M768" i="42"/>
  <c r="M718" i="42"/>
  <c r="M733" i="42"/>
  <c r="M734" i="42"/>
  <c r="M695" i="42"/>
  <c r="M696" i="42"/>
  <c r="M697" i="42"/>
  <c r="M743" i="42"/>
  <c r="M735" i="42"/>
  <c r="M744" i="42"/>
  <c r="M736" i="42"/>
  <c r="M769" i="42"/>
  <c r="M770" i="42"/>
  <c r="M771" i="42"/>
  <c r="M737" i="42"/>
  <c r="M738" i="42"/>
  <c r="M739" i="42"/>
  <c r="M745" i="42"/>
  <c r="M772" i="42"/>
  <c r="M740" i="42"/>
  <c r="M741" i="42"/>
  <c r="M746" i="42"/>
  <c r="M680" i="42"/>
  <c r="M681" i="42"/>
  <c r="M690" i="42"/>
  <c r="M691" i="42"/>
  <c r="M692" i="42"/>
  <c r="M693" i="42"/>
  <c r="M728" i="42"/>
  <c r="M702" i="42"/>
  <c r="M703" i="42"/>
  <c r="M764" i="42"/>
  <c r="M670" i="42"/>
  <c r="M785" i="42"/>
  <c r="M786" i="42"/>
  <c r="M784" i="42"/>
  <c r="M787" i="42"/>
  <c r="M788" i="42"/>
  <c r="M789" i="42"/>
  <c r="M790" i="42"/>
  <c r="M791" i="42"/>
  <c r="M792" i="42"/>
  <c r="M793" i="42"/>
  <c r="M794" i="42"/>
  <c r="M795" i="42"/>
  <c r="M796" i="42"/>
  <c r="M797" i="42"/>
  <c r="M798" i="42"/>
  <c r="M799" i="42"/>
  <c r="M800" i="42"/>
  <c r="M801" i="42"/>
  <c r="M810" i="42"/>
  <c r="M811" i="42"/>
  <c r="M812" i="42"/>
  <c r="M813" i="42"/>
  <c r="M814" i="42"/>
  <c r="M815" i="42"/>
  <c r="M816" i="42"/>
  <c r="M817" i="42"/>
  <c r="M802" i="42"/>
  <c r="M803" i="42"/>
  <c r="M804" i="42"/>
  <c r="M805" i="42"/>
  <c r="M806" i="42"/>
  <c r="M807" i="42"/>
  <c r="M808" i="42"/>
  <c r="M809" i="42"/>
  <c r="M819" i="42"/>
  <c r="M818" i="42"/>
  <c r="M821" i="42"/>
  <c r="M820" i="42"/>
  <c r="M835" i="42"/>
  <c r="M836" i="42"/>
  <c r="M837" i="42"/>
  <c r="M822" i="42"/>
  <c r="M823" i="42"/>
  <c r="M834" i="42"/>
  <c r="M833" i="42"/>
  <c r="M832" i="42"/>
  <c r="M827" i="42"/>
  <c r="M828" i="42"/>
  <c r="M825" i="42"/>
  <c r="M829" i="42"/>
  <c r="M826" i="42"/>
  <c r="M830" i="42"/>
  <c r="M831" i="42"/>
  <c r="M824" i="42"/>
  <c r="M839" i="42"/>
  <c r="M838" i="42"/>
  <c r="M842" i="42"/>
  <c r="M843" i="42"/>
  <c r="M840" i="42"/>
  <c r="M841" i="42"/>
  <c r="M845" i="42"/>
  <c r="M844" i="42"/>
  <c r="M846" i="42"/>
  <c r="M847" i="42"/>
  <c r="M852" i="42"/>
  <c r="M853" i="42"/>
  <c r="M848" i="42"/>
  <c r="M849" i="42"/>
  <c r="M850" i="42"/>
  <c r="M851" i="42"/>
  <c r="M854" i="42"/>
  <c r="M855" i="42"/>
  <c r="M856" i="42"/>
  <c r="M857" i="42"/>
  <c r="M858" i="42"/>
  <c r="M859" i="42"/>
  <c r="M860" i="42"/>
  <c r="M861" i="42"/>
  <c r="M862" i="42"/>
  <c r="M863" i="42"/>
  <c r="M864" i="42"/>
  <c r="M884" i="42"/>
  <c r="M885" i="42"/>
  <c r="M886" i="42"/>
  <c r="M887" i="42"/>
  <c r="M888" i="42"/>
  <c r="M889" i="42"/>
  <c r="M890" i="42"/>
  <c r="M891" i="42"/>
  <c r="M892" i="42"/>
  <c r="M893" i="42"/>
  <c r="M894" i="42"/>
  <c r="M895" i="42"/>
  <c r="M896" i="42"/>
  <c r="M897" i="42"/>
  <c r="M898" i="42"/>
  <c r="M899" i="42"/>
  <c r="M900" i="42"/>
  <c r="M901" i="42"/>
  <c r="M902" i="42"/>
  <c r="M865" i="42"/>
  <c r="M866" i="42"/>
  <c r="M867" i="42"/>
  <c r="M868" i="42"/>
  <c r="M869" i="42"/>
  <c r="M870" i="42"/>
  <c r="M871" i="42"/>
  <c r="M872" i="42"/>
  <c r="M873" i="42"/>
  <c r="M874" i="42"/>
  <c r="M875" i="42"/>
  <c r="M876" i="42"/>
  <c r="M877" i="42"/>
  <c r="M878" i="42"/>
  <c r="M879" i="42"/>
  <c r="M880" i="42"/>
  <c r="M881" i="42"/>
  <c r="M882" i="42"/>
  <c r="M883" i="42"/>
  <c r="M923" i="42"/>
  <c r="M924" i="42"/>
  <c r="M925" i="42"/>
  <c r="M926" i="42"/>
  <c r="M927" i="42"/>
  <c r="M928" i="42"/>
  <c r="M929" i="42"/>
  <c r="M930" i="42"/>
  <c r="M931" i="42"/>
  <c r="M932" i="42"/>
  <c r="M933" i="42"/>
  <c r="M934" i="42"/>
  <c r="M935" i="42"/>
  <c r="M936" i="42"/>
  <c r="M937" i="42"/>
  <c r="M938" i="42"/>
  <c r="M939" i="42"/>
  <c r="M940" i="42"/>
  <c r="M941" i="42"/>
  <c r="M903" i="42"/>
  <c r="M904" i="42"/>
  <c r="M905" i="42"/>
  <c r="M906" i="42"/>
  <c r="M907" i="42"/>
  <c r="M908" i="42"/>
  <c r="M909" i="42"/>
  <c r="M910" i="42"/>
  <c r="M911" i="42"/>
  <c r="M912" i="42"/>
  <c r="M913" i="42"/>
  <c r="M914" i="42"/>
  <c r="M915" i="42"/>
  <c r="M916" i="42"/>
  <c r="M917" i="42"/>
  <c r="M918" i="42"/>
  <c r="M919" i="42"/>
  <c r="M920" i="42"/>
  <c r="M921" i="42"/>
  <c r="M922" i="42"/>
  <c r="M942" i="42"/>
  <c r="M943" i="42"/>
  <c r="M944" i="42"/>
  <c r="M945" i="42"/>
  <c r="M946" i="42"/>
  <c r="M947" i="42"/>
  <c r="M948" i="42"/>
  <c r="M949" i="42"/>
  <c r="M950" i="42"/>
  <c r="M951" i="42"/>
  <c r="M962" i="42"/>
  <c r="M963" i="42"/>
  <c r="M964" i="42"/>
  <c r="M965" i="42"/>
  <c r="M966" i="42"/>
  <c r="M967" i="42"/>
  <c r="M968" i="42"/>
  <c r="M969" i="42"/>
  <c r="M970" i="42"/>
  <c r="M971" i="42"/>
  <c r="M952" i="42"/>
  <c r="M953" i="42"/>
  <c r="M954" i="42"/>
  <c r="M955" i="42"/>
  <c r="M956" i="42"/>
  <c r="M957" i="42"/>
  <c r="M958" i="42"/>
  <c r="M959" i="42"/>
  <c r="M960" i="42"/>
  <c r="M961" i="42"/>
  <c r="M972" i="42"/>
  <c r="M973" i="42"/>
  <c r="M974" i="42"/>
  <c r="M975" i="42"/>
  <c r="M976" i="42"/>
  <c r="M977" i="42"/>
  <c r="M978" i="42"/>
  <c r="M979" i="42"/>
  <c r="M980" i="42"/>
  <c r="M981" i="42"/>
  <c r="M982" i="42"/>
  <c r="M983" i="42"/>
  <c r="M984" i="42"/>
  <c r="M985" i="42"/>
  <c r="M986" i="42"/>
  <c r="M987" i="42"/>
  <c r="M988" i="42"/>
  <c r="M989" i="42"/>
  <c r="M990" i="42"/>
  <c r="M991" i="42"/>
  <c r="M992" i="42"/>
  <c r="M993" i="42"/>
  <c r="M994" i="42"/>
  <c r="M995" i="42"/>
  <c r="M996" i="42"/>
  <c r="M997" i="42"/>
  <c r="M998" i="42"/>
  <c r="M999" i="42"/>
  <c r="M1000" i="42"/>
  <c r="M1001" i="42"/>
  <c r="M1002" i="42"/>
  <c r="M1003" i="42"/>
  <c r="M1004" i="42"/>
  <c r="M1005" i="42"/>
  <c r="M1006" i="42"/>
  <c r="M1007" i="42"/>
  <c r="M1008" i="42"/>
  <c r="M1009" i="42"/>
  <c r="M1010" i="42"/>
  <c r="M1011" i="42"/>
  <c r="M1012" i="42"/>
  <c r="M1013" i="42"/>
  <c r="M1014" i="42"/>
  <c r="M1015" i="42"/>
  <c r="M1016" i="42"/>
  <c r="M1017" i="42"/>
  <c r="M1018" i="42"/>
  <c r="M1019" i="42"/>
  <c r="M1020" i="42"/>
  <c r="M1021" i="42"/>
  <c r="M1022" i="42"/>
  <c r="M1023" i="42"/>
  <c r="M1024" i="42"/>
  <c r="M1025" i="42"/>
  <c r="M1026" i="42"/>
  <c r="M1027" i="42"/>
  <c r="M1028" i="42"/>
  <c r="M1029" i="42"/>
  <c r="M1030" i="42"/>
  <c r="M1031" i="42"/>
  <c r="M1032" i="42"/>
  <c r="M1033" i="42"/>
  <c r="M1034" i="42"/>
  <c r="M1035" i="42"/>
  <c r="M1040" i="42"/>
  <c r="M1041" i="42"/>
  <c r="M1042" i="42"/>
  <c r="M1043" i="42"/>
  <c r="M1044" i="42"/>
  <c r="M1045" i="42"/>
  <c r="M1046" i="42"/>
  <c r="M1047" i="42"/>
  <c r="M1048" i="42"/>
  <c r="M1049" i="42"/>
  <c r="M1050" i="42"/>
  <c r="M1051" i="42"/>
  <c r="M1052" i="42"/>
  <c r="M1053" i="42"/>
  <c r="M1054" i="42"/>
  <c r="M1055" i="42"/>
  <c r="M1056" i="42"/>
  <c r="M1036" i="42"/>
  <c r="M1037" i="42"/>
  <c r="M1038" i="42"/>
  <c r="M1039" i="42"/>
  <c r="M1087" i="42"/>
  <c r="M1088" i="42"/>
  <c r="M1057" i="42"/>
  <c r="M1058" i="42"/>
  <c r="M1059" i="42"/>
  <c r="M1060" i="42"/>
  <c r="M1061" i="42"/>
  <c r="M1062" i="42"/>
  <c r="M1063" i="42"/>
  <c r="M1064" i="42"/>
  <c r="M1065" i="42"/>
  <c r="M1066" i="42"/>
  <c r="M1067" i="42"/>
  <c r="M1068" i="42"/>
  <c r="M1069" i="42"/>
  <c r="M1070" i="42"/>
  <c r="M1071" i="42"/>
  <c r="M1072" i="42"/>
  <c r="M1073" i="42"/>
  <c r="M1074" i="42"/>
  <c r="M1075" i="42"/>
  <c r="M1076" i="42"/>
  <c r="M1077" i="42"/>
  <c r="M1078" i="42"/>
  <c r="M1079" i="42"/>
  <c r="M1080" i="42"/>
  <c r="M1081" i="42"/>
  <c r="M1082" i="42"/>
  <c r="M1083" i="42"/>
  <c r="M1084" i="42"/>
  <c r="M1085" i="42"/>
  <c r="M1086" i="42"/>
  <c r="M1097" i="42"/>
  <c r="M1098" i="42"/>
  <c r="M1099" i="42"/>
  <c r="M1100" i="42"/>
  <c r="M1101" i="42"/>
  <c r="M1102" i="42"/>
  <c r="M1103" i="42"/>
  <c r="M1104" i="42"/>
  <c r="M1105" i="42"/>
  <c r="M1106" i="42"/>
  <c r="M1107" i="42"/>
  <c r="M1108" i="42"/>
  <c r="M1109" i="42"/>
  <c r="M1110" i="42"/>
  <c r="M1111" i="42"/>
  <c r="M1112" i="42"/>
  <c r="M1113" i="42"/>
  <c r="M1114" i="42"/>
  <c r="M1115" i="42"/>
  <c r="M1116" i="42"/>
  <c r="M1117" i="42"/>
  <c r="M1118" i="42"/>
  <c r="M1119" i="42"/>
  <c r="M1120" i="42"/>
  <c r="M1121" i="42"/>
  <c r="M1122" i="42"/>
  <c r="M1123" i="42"/>
  <c r="M1124" i="42"/>
  <c r="M1125" i="42"/>
  <c r="M1126" i="42"/>
  <c r="M1093" i="42"/>
  <c r="M1094" i="42"/>
  <c r="M1095" i="42"/>
  <c r="M1096" i="42"/>
  <c r="M1089" i="42"/>
  <c r="M1090" i="42"/>
  <c r="M1091" i="42"/>
  <c r="M1092" i="42"/>
  <c r="M1127" i="42"/>
  <c r="M1128" i="42"/>
  <c r="M1129" i="42"/>
  <c r="M1130" i="42"/>
  <c r="M1131" i="42"/>
  <c r="M1132" i="42"/>
  <c r="M1133" i="42"/>
  <c r="M1134" i="42"/>
  <c r="M1135" i="42"/>
  <c r="M1136" i="42"/>
  <c r="M1137" i="42"/>
  <c r="M1138" i="42"/>
  <c r="M1139" i="42"/>
  <c r="M1140" i="42"/>
  <c r="M1141" i="42"/>
  <c r="M1142" i="42"/>
  <c r="M1143" i="42"/>
  <c r="M1144" i="42"/>
  <c r="M1145" i="42"/>
  <c r="M1146" i="42"/>
  <c r="M1147" i="42"/>
  <c r="M1148" i="42"/>
  <c r="M1149" i="42"/>
  <c r="M1150" i="42"/>
  <c r="M1151" i="42"/>
  <c r="M1152" i="42"/>
  <c r="M1153" i="42"/>
  <c r="M1154" i="42"/>
  <c r="M1155" i="42"/>
  <c r="M1156" i="42"/>
  <c r="M1158" i="42"/>
  <c r="M1157" i="42"/>
  <c r="M1218" i="42"/>
  <c r="M1219" i="42"/>
  <c r="M1220" i="42"/>
  <c r="M1221" i="42"/>
  <c r="M1222" i="42"/>
  <c r="M1223" i="42"/>
  <c r="M1224" i="42"/>
  <c r="M1225" i="42"/>
  <c r="M1232" i="42"/>
  <c r="M1233" i="42"/>
  <c r="M1234" i="42"/>
  <c r="M1235" i="42"/>
  <c r="M1236" i="42"/>
  <c r="M1237" i="42"/>
  <c r="M1238" i="42"/>
  <c r="M1239" i="42"/>
  <c r="M1240" i="42"/>
  <c r="M1241" i="42"/>
  <c r="M1242" i="42"/>
  <c r="M1243" i="42"/>
  <c r="M1244" i="42"/>
  <c r="M1245" i="42"/>
  <c r="M1246" i="42"/>
  <c r="M1226" i="42"/>
  <c r="M1227" i="42"/>
  <c r="M1228" i="42"/>
  <c r="M1229" i="42"/>
  <c r="M1230" i="42"/>
  <c r="M1231" i="42"/>
  <c r="M1214" i="42"/>
  <c r="M1215" i="42"/>
  <c r="M1216" i="42"/>
  <c r="M1217" i="42"/>
  <c r="M1208" i="42"/>
  <c r="M1209" i="42"/>
  <c r="M1210" i="42"/>
  <c r="M1200" i="42"/>
  <c r="M1201" i="42"/>
  <c r="M1202" i="42"/>
  <c r="M1203" i="42"/>
  <c r="M1204" i="42"/>
  <c r="M1211" i="42"/>
  <c r="M1212" i="42"/>
  <c r="M1213" i="42"/>
  <c r="M1199" i="42"/>
  <c r="M1198" i="42"/>
  <c r="M1197" i="42"/>
  <c r="M1196" i="42"/>
  <c r="M1183" i="42"/>
  <c r="M1184" i="42"/>
  <c r="M1185" i="42"/>
  <c r="M1186" i="42"/>
  <c r="M1187" i="42"/>
  <c r="M1188" i="42"/>
  <c r="M1189" i="42"/>
  <c r="M1190" i="42"/>
  <c r="M1191" i="42"/>
  <c r="M1192" i="42"/>
  <c r="M1193" i="42"/>
  <c r="M1194" i="42"/>
  <c r="M1195" i="42"/>
  <c r="M1164" i="42"/>
  <c r="M1165" i="42"/>
  <c r="M1166" i="42"/>
  <c r="M1167" i="42"/>
  <c r="M1168" i="42"/>
  <c r="M1169" i="42"/>
  <c r="M1170" i="42"/>
  <c r="M1171" i="42"/>
  <c r="M1172" i="42"/>
  <c r="M1173" i="42"/>
  <c r="M1174" i="42"/>
  <c r="M1175" i="42"/>
  <c r="M1176" i="42"/>
  <c r="M1177" i="42"/>
  <c r="M1178" i="42"/>
  <c r="M1179" i="42"/>
  <c r="M1180" i="42"/>
  <c r="M1181" i="42"/>
  <c r="M1182" i="42"/>
  <c r="M1161" i="42"/>
  <c r="M1162" i="42"/>
  <c r="M1163" i="42"/>
  <c r="M1159" i="42"/>
  <c r="M1160" i="42"/>
  <c r="M1205" i="42"/>
  <c r="M1206" i="42"/>
  <c r="M1207" i="42"/>
  <c r="M1247" i="42"/>
  <c r="M1248" i="42"/>
  <c r="M1249" i="42"/>
  <c r="M1250" i="42"/>
  <c r="M1251" i="42"/>
  <c r="M1252" i="42"/>
  <c r="M1253" i="42"/>
  <c r="M1254" i="42"/>
  <c r="M1260" i="42"/>
  <c r="M1261" i="42"/>
  <c r="M1262" i="42"/>
  <c r="M1256" i="42"/>
  <c r="M1257" i="42"/>
  <c r="M1258" i="42"/>
  <c r="M1259" i="42"/>
  <c r="M1255" i="42"/>
  <c r="M1265" i="42"/>
  <c r="M1263" i="42"/>
  <c r="M1264" i="42"/>
  <c r="M1266" i="42"/>
  <c r="M1267" i="42"/>
  <c r="M1268" i="42"/>
  <c r="M1269" i="42"/>
  <c r="M1270" i="42"/>
  <c r="M1271" i="42"/>
  <c r="M1272" i="42"/>
  <c r="M1273" i="42"/>
  <c r="M1274" i="42"/>
  <c r="M1275" i="42"/>
  <c r="M1276" i="42"/>
  <c r="M1277" i="42"/>
  <c r="M1278" i="42"/>
  <c r="M1279" i="42"/>
  <c r="M1280" i="42"/>
  <c r="M1281" i="42"/>
  <c r="M1282" i="42"/>
  <c r="M1283" i="42"/>
  <c r="M1284" i="42"/>
  <c r="M1285" i="42"/>
  <c r="M1286" i="42"/>
  <c r="M1287" i="42"/>
  <c r="M1288" i="42"/>
  <c r="M1289" i="42"/>
  <c r="M1290" i="42"/>
  <c r="M1291" i="42"/>
  <c r="M1292" i="42"/>
  <c r="M1293" i="42"/>
  <c r="M1294" i="42"/>
  <c r="M1295" i="42"/>
  <c r="M1296" i="42"/>
  <c r="M1297" i="42"/>
  <c r="M1481" i="42"/>
  <c r="M1482" i="42"/>
  <c r="M1483" i="42"/>
  <c r="M1484" i="42"/>
  <c r="M1485" i="42"/>
  <c r="M1486" i="42"/>
  <c r="M1487" i="42"/>
  <c r="M1488" i="42"/>
  <c r="M1489" i="42"/>
  <c r="M1490" i="42"/>
  <c r="M1491" i="42"/>
  <c r="M1492" i="42"/>
  <c r="M1493" i="42"/>
  <c r="M1494" i="42"/>
  <c r="M1495" i="42"/>
  <c r="M1496" i="42"/>
  <c r="M1497" i="42"/>
  <c r="M1498" i="42"/>
  <c r="M1499" i="42"/>
  <c r="M1500" i="42"/>
  <c r="M1501" i="42"/>
  <c r="M1502" i="42"/>
  <c r="M1503" i="42"/>
  <c r="M1504" i="42"/>
  <c r="M1505" i="42"/>
  <c r="M1506" i="42"/>
  <c r="M1507" i="42"/>
  <c r="M1508" i="42"/>
  <c r="M1509" i="42"/>
  <c r="M1510" i="42"/>
  <c r="M1511" i="42"/>
  <c r="M1512" i="42"/>
  <c r="M1513" i="42"/>
  <c r="M1514" i="42"/>
  <c r="M1515" i="42"/>
  <c r="M1516" i="42"/>
  <c r="M1517" i="42"/>
  <c r="M1518" i="42"/>
  <c r="M1519" i="42"/>
  <c r="M1520" i="42"/>
  <c r="M1521" i="42"/>
  <c r="M1522" i="42"/>
  <c r="M1523" i="42"/>
  <c r="M1524" i="42"/>
  <c r="M1525" i="42"/>
  <c r="M1526" i="42"/>
  <c r="M1527" i="42"/>
  <c r="M1528" i="42"/>
  <c r="M1529" i="42"/>
  <c r="M1530" i="42"/>
  <c r="M1531" i="42"/>
  <c r="M1532" i="42"/>
  <c r="M1533" i="42"/>
  <c r="M1534" i="42"/>
  <c r="M1535" i="42"/>
  <c r="M1536" i="42"/>
  <c r="M1537" i="42"/>
  <c r="M1538" i="42"/>
  <c r="M1539" i="42"/>
  <c r="M1540" i="42"/>
  <c r="M1420" i="42"/>
  <c r="M1298" i="42"/>
  <c r="M1299" i="42"/>
  <c r="M1300" i="42"/>
  <c r="M1301" i="42"/>
  <c r="M1302" i="42"/>
  <c r="M1303" i="42"/>
  <c r="M1304" i="42"/>
  <c r="M1305" i="42"/>
  <c r="M1306" i="42"/>
  <c r="M1307" i="42"/>
  <c r="M1308" i="42"/>
  <c r="M1309" i="42"/>
  <c r="M1310" i="42"/>
  <c r="M1311" i="42"/>
  <c r="M1312" i="42"/>
  <c r="M1313" i="42"/>
  <c r="M1314" i="42"/>
  <c r="M1315" i="42"/>
  <c r="M1316" i="42"/>
  <c r="M1317" i="42"/>
  <c r="M1318" i="42"/>
  <c r="M1319" i="42"/>
  <c r="M1320" i="42"/>
  <c r="M1321" i="42"/>
  <c r="M1322" i="42"/>
  <c r="M1323" i="42"/>
  <c r="M1324" i="42"/>
  <c r="M1325" i="42"/>
  <c r="M1326" i="42"/>
  <c r="M1327" i="42"/>
  <c r="M1328" i="42"/>
  <c r="M1329" i="42"/>
  <c r="M1330" i="42"/>
  <c r="M1331" i="42"/>
  <c r="M1332" i="42"/>
  <c r="M1333" i="42"/>
  <c r="M1334" i="42"/>
  <c r="M1335" i="42"/>
  <c r="M1336" i="42"/>
  <c r="M1337" i="42"/>
  <c r="M1338" i="42"/>
  <c r="M1339" i="42"/>
  <c r="M1340" i="42"/>
  <c r="M1341" i="42"/>
  <c r="M1342" i="42"/>
  <c r="M1343" i="42"/>
  <c r="M1344" i="42"/>
  <c r="M1345" i="42"/>
  <c r="M1346" i="42"/>
  <c r="M1347" i="42"/>
  <c r="M1348" i="42"/>
  <c r="M1349" i="42"/>
  <c r="M1350" i="42"/>
  <c r="M1351" i="42"/>
  <c r="M1352" i="42"/>
  <c r="M1353" i="42"/>
  <c r="M1354" i="42"/>
  <c r="M1355" i="42"/>
  <c r="M1356" i="42"/>
  <c r="M1357" i="42"/>
  <c r="M1360" i="42"/>
  <c r="M1361" i="42"/>
  <c r="M1362" i="42"/>
  <c r="M1363" i="42"/>
  <c r="M1364" i="42"/>
  <c r="M1365" i="42"/>
  <c r="M1366" i="42"/>
  <c r="M1367" i="42"/>
  <c r="M1368" i="42"/>
  <c r="M1369" i="42"/>
  <c r="M1370" i="42"/>
  <c r="M1371" i="42"/>
  <c r="M1372" i="42"/>
  <c r="M1373" i="42"/>
  <c r="M1374" i="42"/>
  <c r="M1375" i="42"/>
  <c r="M1376" i="42"/>
  <c r="M1377" i="42"/>
  <c r="M1378" i="42"/>
  <c r="M1379" i="42"/>
  <c r="M1380" i="42"/>
  <c r="M1381" i="42"/>
  <c r="M1382" i="42"/>
  <c r="M1383" i="42"/>
  <c r="M1384" i="42"/>
  <c r="M1385" i="42"/>
  <c r="M1386" i="42"/>
  <c r="M1387" i="42"/>
  <c r="M1388" i="42"/>
  <c r="M1389" i="42"/>
  <c r="M1390" i="42"/>
  <c r="M1391" i="42"/>
  <c r="M1392" i="42"/>
  <c r="M1393" i="42"/>
  <c r="M1394" i="42"/>
  <c r="M1395" i="42"/>
  <c r="M1396" i="42"/>
  <c r="M1397" i="42"/>
  <c r="M1398" i="42"/>
  <c r="M1399" i="42"/>
  <c r="M1400" i="42"/>
  <c r="M1401" i="42"/>
  <c r="M1402" i="42"/>
  <c r="M1403" i="42"/>
  <c r="M1404" i="42"/>
  <c r="M1405" i="42"/>
  <c r="M1406" i="42"/>
  <c r="M1407" i="42"/>
  <c r="M1408" i="42"/>
  <c r="M1409" i="42"/>
  <c r="M1410" i="42"/>
  <c r="M1411" i="42"/>
  <c r="M1412" i="42"/>
  <c r="M1413" i="42"/>
  <c r="M1414" i="42"/>
  <c r="M1415" i="42"/>
  <c r="M1416" i="42"/>
  <c r="M1417" i="42"/>
  <c r="M1418" i="42"/>
  <c r="M1419" i="42"/>
  <c r="M1480" i="42"/>
  <c r="M1479" i="42"/>
  <c r="M1478" i="42"/>
  <c r="M1477" i="42"/>
  <c r="M1476" i="42"/>
  <c r="M1475" i="42"/>
  <c r="M1474" i="42"/>
  <c r="M1473" i="42"/>
  <c r="M1472" i="42"/>
  <c r="M1471" i="42"/>
  <c r="M1470" i="42"/>
  <c r="M1469" i="42"/>
  <c r="M1468" i="42"/>
  <c r="M1467" i="42"/>
  <c r="M1466" i="42"/>
  <c r="M1465" i="42"/>
  <c r="M1464" i="42"/>
  <c r="M1463" i="42"/>
  <c r="M1462" i="42"/>
  <c r="M1461" i="42"/>
  <c r="M1460" i="42"/>
  <c r="M1459" i="42"/>
  <c r="M1458" i="42"/>
  <c r="M1457" i="42"/>
  <c r="M1456" i="42"/>
  <c r="M1455" i="42"/>
  <c r="M1454" i="42"/>
  <c r="M1453" i="42"/>
  <c r="M1452" i="42"/>
  <c r="M1451" i="42"/>
  <c r="M1450" i="42"/>
  <c r="M1449" i="42"/>
  <c r="M1448" i="42"/>
  <c r="M1447" i="42"/>
  <c r="M1446" i="42"/>
  <c r="M1445" i="42"/>
  <c r="M1444" i="42"/>
  <c r="M1443" i="42"/>
  <c r="M1442" i="42"/>
  <c r="M1441" i="42"/>
  <c r="M1440" i="42"/>
  <c r="M1439" i="42"/>
  <c r="M1438" i="42"/>
  <c r="M1437" i="42"/>
  <c r="M1436" i="42"/>
  <c r="M1435" i="42"/>
  <c r="M1434" i="42"/>
  <c r="M1433" i="42"/>
  <c r="M1432" i="42"/>
  <c r="M1431" i="42"/>
  <c r="M1430" i="42"/>
  <c r="M1429" i="42"/>
  <c r="M1428" i="42"/>
  <c r="M1427" i="42"/>
  <c r="M1426" i="42"/>
  <c r="M1425" i="42"/>
  <c r="M1424" i="42"/>
  <c r="M1423" i="42"/>
  <c r="M1422" i="42"/>
  <c r="M1421" i="42"/>
  <c r="M1553" i="42"/>
  <c r="M1541" i="42"/>
  <c r="M1542" i="42"/>
  <c r="M1543" i="42"/>
  <c r="M1544" i="42"/>
  <c r="M1545" i="42"/>
  <c r="M1546" i="42"/>
  <c r="M1547" i="42"/>
  <c r="M1548" i="42"/>
  <c r="M1549" i="42"/>
  <c r="M1550" i="42"/>
  <c r="M1551" i="42"/>
  <c r="M1552" i="42"/>
  <c r="H2110" i="42"/>
  <c r="H2111" i="42"/>
  <c r="H2112" i="42"/>
  <c r="H2113" i="42"/>
  <c r="H2114" i="42"/>
  <c r="H2115" i="42"/>
  <c r="H2116" i="42"/>
  <c r="H2117" i="42"/>
  <c r="H2118" i="42"/>
  <c r="H2119" i="42"/>
  <c r="H2120" i="42"/>
  <c r="H2122" i="42"/>
  <c r="H2123" i="42"/>
  <c r="H2124" i="42"/>
  <c r="H2125" i="42"/>
  <c r="H2126" i="42"/>
  <c r="H2127" i="42"/>
  <c r="O696" i="38"/>
  <c r="O697" i="38"/>
  <c r="O698" i="38"/>
  <c r="O699" i="38"/>
  <c r="O700" i="38"/>
  <c r="O701" i="38"/>
  <c r="O702" i="38"/>
  <c r="O703" i="38"/>
  <c r="O704" i="38"/>
  <c r="O705" i="38"/>
  <c r="O706" i="38"/>
  <c r="O707" i="38"/>
  <c r="O708" i="38"/>
  <c r="O709" i="38"/>
  <c r="O710" i="38"/>
  <c r="O711" i="38"/>
  <c r="O712" i="38"/>
  <c r="N712" i="38"/>
  <c r="O713" i="38"/>
  <c r="O714" i="38"/>
  <c r="O715" i="38"/>
  <c r="O716" i="38"/>
  <c r="O717" i="38"/>
  <c r="O718" i="38"/>
  <c r="O719" i="38"/>
  <c r="O720" i="38"/>
  <c r="O721" i="38"/>
  <c r="O722" i="38"/>
  <c r="O723" i="38"/>
  <c r="O724" i="38"/>
  <c r="O725" i="38"/>
  <c r="O726" i="38"/>
  <c r="O727" i="38"/>
  <c r="O728" i="38"/>
  <c r="O729" i="38"/>
  <c r="O730" i="38"/>
  <c r="O731" i="38"/>
  <c r="O732" i="38"/>
  <c r="O733" i="38"/>
  <c r="O734" i="38"/>
  <c r="O735" i="38"/>
  <c r="O736" i="38"/>
  <c r="O737" i="38"/>
  <c r="O738" i="38"/>
  <c r="O739" i="38"/>
  <c r="O740" i="38"/>
  <c r="O741" i="38"/>
  <c r="O742" i="38"/>
  <c r="O743" i="38"/>
  <c r="N695" i="38"/>
  <c r="N696" i="38"/>
  <c r="N697" i="38"/>
  <c r="N698" i="38"/>
  <c r="N699" i="38"/>
  <c r="N700" i="38"/>
  <c r="N701" i="38"/>
  <c r="N702" i="38"/>
  <c r="N703" i="38"/>
  <c r="N704" i="38"/>
  <c r="N705" i="38"/>
  <c r="N706" i="38"/>
  <c r="N707" i="38"/>
  <c r="N708" i="38"/>
  <c r="N709" i="38"/>
  <c r="N710" i="38"/>
  <c r="N711" i="38"/>
  <c r="N713" i="38"/>
  <c r="N714" i="38"/>
  <c r="N715" i="38"/>
  <c r="N716" i="38"/>
  <c r="N717" i="38"/>
  <c r="N718" i="38"/>
  <c r="N719" i="38"/>
  <c r="N720" i="38"/>
  <c r="N721" i="38"/>
  <c r="N722" i="38"/>
  <c r="N723" i="38"/>
  <c r="N724" i="38"/>
  <c r="N725" i="38"/>
  <c r="N726" i="38"/>
  <c r="N727" i="38"/>
  <c r="N728" i="38"/>
  <c r="N729" i="38"/>
  <c r="N730" i="38"/>
  <c r="N731" i="38"/>
  <c r="N732" i="38"/>
  <c r="N733" i="38"/>
  <c r="N734" i="38"/>
  <c r="N735" i="38"/>
  <c r="N736" i="38"/>
  <c r="N737" i="38"/>
  <c r="N738" i="38"/>
  <c r="N739" i="38"/>
  <c r="N740" i="38"/>
  <c r="N741" i="38"/>
  <c r="N742" i="38"/>
  <c r="N743" i="38"/>
  <c r="O761" i="38"/>
  <c r="O762" i="38"/>
  <c r="O763" i="38"/>
  <c r="O764" i="38"/>
  <c r="O765" i="38"/>
  <c r="O766" i="38"/>
  <c r="O767" i="38"/>
  <c r="O768" i="38"/>
  <c r="O769" i="38"/>
  <c r="O770" i="38"/>
  <c r="O771" i="38"/>
  <c r="O772" i="38"/>
  <c r="O773" i="38"/>
  <c r="O774" i="38"/>
  <c r="O775" i="38"/>
  <c r="O776" i="38"/>
  <c r="O777" i="38"/>
  <c r="O778" i="38"/>
  <c r="O779" i="38"/>
  <c r="O780" i="38"/>
  <c r="O781" i="38"/>
  <c r="O782" i="38"/>
  <c r="O783" i="38"/>
  <c r="O784" i="38"/>
  <c r="O785" i="38"/>
  <c r="N757" i="38"/>
  <c r="N758" i="38"/>
  <c r="N759" i="38"/>
  <c r="N760" i="38"/>
  <c r="N761" i="38"/>
  <c r="N762" i="38"/>
  <c r="N763" i="38"/>
  <c r="N764" i="38"/>
  <c r="N765" i="38"/>
  <c r="N766" i="38"/>
  <c r="N767" i="38"/>
  <c r="N768" i="38"/>
  <c r="N769" i="38"/>
  <c r="N770" i="38"/>
  <c r="N771" i="38"/>
  <c r="N772" i="38"/>
  <c r="N773" i="38"/>
  <c r="N774" i="38"/>
  <c r="N775" i="38"/>
  <c r="N776" i="38"/>
  <c r="N777" i="38"/>
  <c r="N778" i="38"/>
  <c r="N779" i="38"/>
  <c r="N780" i="38"/>
  <c r="N781" i="38"/>
  <c r="N782" i="38"/>
  <c r="N783" i="38"/>
  <c r="N784" i="38"/>
  <c r="N785" i="38"/>
  <c r="L696" i="38"/>
  <c r="L697" i="38"/>
  <c r="L698" i="38"/>
  <c r="L699" i="38"/>
  <c r="L700" i="38"/>
  <c r="L701" i="38"/>
  <c r="L702" i="38"/>
  <c r="L703" i="38"/>
  <c r="L704" i="38"/>
  <c r="L705" i="38"/>
  <c r="L706" i="38"/>
  <c r="L707" i="38"/>
  <c r="L708" i="38"/>
  <c r="L709" i="38"/>
  <c r="L710" i="38"/>
  <c r="L711" i="38"/>
  <c r="L712" i="38"/>
  <c r="L713" i="38"/>
  <c r="L714" i="38"/>
  <c r="L715" i="38"/>
  <c r="L716" i="38"/>
  <c r="L717" i="38"/>
  <c r="L718" i="38"/>
  <c r="L719" i="38"/>
  <c r="L720" i="38"/>
  <c r="L721" i="38"/>
  <c r="L722" i="38"/>
  <c r="L723" i="38"/>
  <c r="L724" i="38"/>
  <c r="L725" i="38"/>
  <c r="L726" i="38"/>
  <c r="L727" i="38"/>
  <c r="L728" i="38"/>
  <c r="L729" i="38"/>
  <c r="L730" i="38"/>
  <c r="L731" i="38"/>
  <c r="L732" i="38"/>
  <c r="L733" i="38"/>
  <c r="L734" i="38"/>
  <c r="L735" i="38"/>
  <c r="L736" i="38"/>
  <c r="L737" i="38"/>
  <c r="L738" i="38"/>
  <c r="L739" i="38"/>
  <c r="L740" i="38"/>
  <c r="L741" i="38"/>
  <c r="L742" i="38"/>
  <c r="L743" i="38"/>
  <c r="L744" i="38"/>
  <c r="L745" i="38"/>
  <c r="L746" i="38"/>
  <c r="L747" i="38"/>
  <c r="L748" i="38"/>
  <c r="L749" i="38"/>
  <c r="L750" i="38"/>
  <c r="L751" i="38"/>
  <c r="L752" i="38"/>
  <c r="L753" i="38"/>
  <c r="L754" i="38"/>
  <c r="L755" i="38"/>
  <c r="L756" i="38"/>
  <c r="L757" i="38"/>
  <c r="L758" i="38"/>
  <c r="L759" i="38"/>
  <c r="L760" i="38"/>
  <c r="L761" i="38"/>
  <c r="L762" i="38"/>
  <c r="L763" i="38"/>
  <c r="L764" i="38"/>
  <c r="L765" i="38"/>
  <c r="L766" i="38"/>
  <c r="L767" i="38"/>
  <c r="L768" i="38"/>
  <c r="L769" i="38"/>
  <c r="L770" i="38"/>
  <c r="L771" i="38"/>
  <c r="L772" i="38"/>
  <c r="L773" i="38"/>
  <c r="L774" i="38"/>
  <c r="L775" i="38"/>
  <c r="L776" i="38"/>
  <c r="L777" i="38"/>
  <c r="L778" i="38"/>
  <c r="L779" i="38"/>
  <c r="L780" i="38"/>
  <c r="L781" i="38"/>
  <c r="L782" i="38"/>
  <c r="L783" i="38"/>
  <c r="L784" i="38"/>
  <c r="L785" i="38"/>
  <c r="L695" i="38"/>
  <c r="O695" i="38"/>
  <c r="P1359" i="42"/>
  <c r="O1358" i="42"/>
  <c r="O1359" i="42"/>
  <c r="P1358" i="42"/>
  <c r="P1541" i="42"/>
  <c r="P1542" i="42"/>
  <c r="P1543" i="42"/>
  <c r="P1544" i="42"/>
  <c r="P1545" i="42"/>
  <c r="P1546" i="42"/>
  <c r="P1547" i="42"/>
  <c r="P1548" i="42"/>
  <c r="P1549" i="42"/>
  <c r="P1550" i="42"/>
  <c r="P1551" i="42"/>
  <c r="O1551" i="42"/>
  <c r="P1552" i="42"/>
  <c r="O1552" i="42"/>
  <c r="O1553" i="42"/>
  <c r="O1541" i="42"/>
  <c r="O1542" i="42"/>
  <c r="O1543" i="42"/>
  <c r="O1544" i="42"/>
  <c r="O1545" i="42"/>
  <c r="O1546" i="42"/>
  <c r="O1547" i="42"/>
  <c r="O1548" i="42"/>
  <c r="O1549" i="42"/>
  <c r="O1550" i="42"/>
  <c r="P1553" i="42"/>
  <c r="P1480" i="42"/>
  <c r="P1479" i="42"/>
  <c r="P1478" i="42"/>
  <c r="P1477" i="42"/>
  <c r="P1476" i="42"/>
  <c r="P1475" i="42"/>
  <c r="P1474" i="42"/>
  <c r="P1473" i="42"/>
  <c r="P1472" i="42"/>
  <c r="P1471" i="42"/>
  <c r="P1470" i="42"/>
  <c r="P1469" i="42"/>
  <c r="P1468" i="42"/>
  <c r="P1467" i="42"/>
  <c r="P1466" i="42"/>
  <c r="P1465" i="42"/>
  <c r="P1464" i="42"/>
  <c r="P1463" i="42"/>
  <c r="P1462" i="42"/>
  <c r="P1461" i="42"/>
  <c r="P1460" i="42"/>
  <c r="P1459" i="42"/>
  <c r="P1458" i="42"/>
  <c r="P1457" i="42"/>
  <c r="P1456" i="42"/>
  <c r="P1455" i="42"/>
  <c r="P1454" i="42"/>
  <c r="P1453" i="42"/>
  <c r="P1452" i="42"/>
  <c r="P1451" i="42"/>
  <c r="P1450" i="42"/>
  <c r="P1449" i="42"/>
  <c r="P1448" i="42"/>
  <c r="P1447" i="42"/>
  <c r="P1446" i="42"/>
  <c r="P1445" i="42"/>
  <c r="P1444" i="42"/>
  <c r="P1443" i="42"/>
  <c r="P1442" i="42"/>
  <c r="P1441" i="42"/>
  <c r="P1440" i="42"/>
  <c r="P1439" i="42"/>
  <c r="P1438" i="42"/>
  <c r="P1437" i="42"/>
  <c r="P1436" i="42"/>
  <c r="P1435" i="42"/>
  <c r="P1434" i="42"/>
  <c r="P1433" i="42"/>
  <c r="P1432" i="42"/>
  <c r="P1431" i="42"/>
  <c r="P1430" i="42"/>
  <c r="P1429" i="42"/>
  <c r="P1428" i="42"/>
  <c r="P1427" i="42"/>
  <c r="P1426" i="42"/>
  <c r="P1425" i="42"/>
  <c r="P1424" i="42"/>
  <c r="P1423" i="42"/>
  <c r="P1422" i="42"/>
  <c r="P1421" i="42"/>
  <c r="O1480" i="42"/>
  <c r="O1479" i="42"/>
  <c r="O1478" i="42"/>
  <c r="O1477" i="42"/>
  <c r="O1476" i="42"/>
  <c r="O1475" i="42"/>
  <c r="O1474" i="42"/>
  <c r="O1473" i="42"/>
  <c r="O1472" i="42"/>
  <c r="O1471" i="42"/>
  <c r="O1470" i="42"/>
  <c r="O1469" i="42"/>
  <c r="O1468" i="42"/>
  <c r="O1467" i="42"/>
  <c r="O1466" i="42"/>
  <c r="O1465" i="42"/>
  <c r="O1464" i="42"/>
  <c r="O1463" i="42"/>
  <c r="O1462" i="42"/>
  <c r="O1461" i="42"/>
  <c r="O1460" i="42"/>
  <c r="O1459" i="42"/>
  <c r="O1458" i="42"/>
  <c r="O1457" i="42"/>
  <c r="O1456" i="42"/>
  <c r="O1455" i="42"/>
  <c r="O1454" i="42"/>
  <c r="O1453" i="42"/>
  <c r="O1452" i="42"/>
  <c r="O1451" i="42"/>
  <c r="O1450" i="42"/>
  <c r="O1449" i="42"/>
  <c r="O1448" i="42"/>
  <c r="O1447" i="42"/>
  <c r="O1446" i="42"/>
  <c r="O1445" i="42"/>
  <c r="O1444" i="42"/>
  <c r="O1443" i="42"/>
  <c r="O1442" i="42"/>
  <c r="O1441" i="42"/>
  <c r="O1440" i="42"/>
  <c r="O1439" i="42"/>
  <c r="O1438" i="42"/>
  <c r="O1437" i="42"/>
  <c r="O1436" i="42"/>
  <c r="O1435" i="42"/>
  <c r="O1434" i="42"/>
  <c r="O1433" i="42"/>
  <c r="O1432" i="42"/>
  <c r="O1431" i="42"/>
  <c r="O1430" i="42"/>
  <c r="O1429" i="42"/>
  <c r="O1428" i="42"/>
  <c r="O1427" i="42"/>
  <c r="O1426" i="42"/>
  <c r="O1425" i="42"/>
  <c r="O1424" i="42"/>
  <c r="O1423" i="42"/>
  <c r="O1422" i="42"/>
  <c r="O1421" i="42"/>
  <c r="P1298" i="42"/>
  <c r="P1299" i="42"/>
  <c r="P1300" i="42"/>
  <c r="P1301" i="42"/>
  <c r="P1302" i="42"/>
  <c r="P1303" i="42"/>
  <c r="P1304" i="42"/>
  <c r="P1305" i="42"/>
  <c r="P1306" i="42"/>
  <c r="P1307" i="42"/>
  <c r="P1308" i="42"/>
  <c r="P1309" i="42"/>
  <c r="P1310" i="42"/>
  <c r="P1311" i="42"/>
  <c r="P1312" i="42"/>
  <c r="P1313" i="42"/>
  <c r="P1314" i="42"/>
  <c r="P1315" i="42"/>
  <c r="P1316" i="42"/>
  <c r="P1317" i="42"/>
  <c r="P1318" i="42"/>
  <c r="P1319" i="42"/>
  <c r="P1320" i="42"/>
  <c r="P1321" i="42"/>
  <c r="P1322" i="42"/>
  <c r="P1323" i="42"/>
  <c r="P1324" i="42"/>
  <c r="P1325" i="42"/>
  <c r="P1326" i="42"/>
  <c r="P1327" i="42"/>
  <c r="P1328" i="42"/>
  <c r="P1329" i="42"/>
  <c r="P1330" i="42"/>
  <c r="P1331" i="42"/>
  <c r="P1332" i="42"/>
  <c r="P1333" i="42"/>
  <c r="P1334" i="42"/>
  <c r="P1335" i="42"/>
  <c r="P1336" i="42"/>
  <c r="P1337" i="42"/>
  <c r="P1338" i="42"/>
  <c r="P1339" i="42"/>
  <c r="P1340" i="42"/>
  <c r="P1341" i="42"/>
  <c r="P1342" i="42"/>
  <c r="P1343" i="42"/>
  <c r="P1344" i="42"/>
  <c r="P1345" i="42"/>
  <c r="P1346" i="42"/>
  <c r="P1347" i="42"/>
  <c r="P1348" i="42"/>
  <c r="P1349" i="42"/>
  <c r="P1350" i="42"/>
  <c r="P1351" i="42"/>
  <c r="P1352" i="42"/>
  <c r="P1353" i="42"/>
  <c r="P1354" i="42"/>
  <c r="P1355" i="42"/>
  <c r="P1356" i="42"/>
  <c r="P1357" i="42"/>
  <c r="P1360" i="42"/>
  <c r="P1361" i="42"/>
  <c r="P1362" i="42"/>
  <c r="P1363" i="42"/>
  <c r="P1364" i="42"/>
  <c r="P1365" i="42"/>
  <c r="P1366" i="42"/>
  <c r="P1367" i="42"/>
  <c r="P1368" i="42"/>
  <c r="P1369" i="42"/>
  <c r="P1370" i="42"/>
  <c r="P1371" i="42"/>
  <c r="P1372" i="42"/>
  <c r="P1373" i="42"/>
  <c r="P1374" i="42"/>
  <c r="P1375" i="42"/>
  <c r="P1376" i="42"/>
  <c r="P1377" i="42"/>
  <c r="P1378" i="42"/>
  <c r="P1379" i="42"/>
  <c r="P1380" i="42"/>
  <c r="P1381" i="42"/>
  <c r="P1382" i="42"/>
  <c r="P1383" i="42"/>
  <c r="P1384" i="42"/>
  <c r="P1385" i="42"/>
  <c r="P1386" i="42"/>
  <c r="P1387" i="42"/>
  <c r="P1388" i="42"/>
  <c r="P1389" i="42"/>
  <c r="P1390" i="42"/>
  <c r="P1391" i="42"/>
  <c r="P1392" i="42"/>
  <c r="P1393" i="42"/>
  <c r="P1394" i="42"/>
  <c r="P1395" i="42"/>
  <c r="P1396" i="42"/>
  <c r="P1397" i="42"/>
  <c r="P1398" i="42"/>
  <c r="P1399" i="42"/>
  <c r="P1400" i="42"/>
  <c r="P1401" i="42"/>
  <c r="P1402" i="42"/>
  <c r="P1403" i="42"/>
  <c r="P1404" i="42"/>
  <c r="P1405" i="42"/>
  <c r="P1406" i="42"/>
  <c r="P1407" i="42"/>
  <c r="P1408" i="42"/>
  <c r="P1409" i="42"/>
  <c r="P1410" i="42"/>
  <c r="P1411" i="42"/>
  <c r="P1412" i="42"/>
  <c r="P1413" i="42"/>
  <c r="P1414" i="42"/>
  <c r="P1415" i="42"/>
  <c r="P1416" i="42"/>
  <c r="P1417" i="42"/>
  <c r="P1418" i="42"/>
  <c r="P1419" i="42"/>
  <c r="O1298" i="42"/>
  <c r="O1299" i="42"/>
  <c r="O1300" i="42"/>
  <c r="O1301" i="42"/>
  <c r="O1302" i="42"/>
  <c r="O1303" i="42"/>
  <c r="O1304" i="42"/>
  <c r="O1305" i="42"/>
  <c r="O1306" i="42"/>
  <c r="O1307" i="42"/>
  <c r="O1308" i="42"/>
  <c r="O1309" i="42"/>
  <c r="O1310" i="42"/>
  <c r="O1311" i="42"/>
  <c r="O1312" i="42"/>
  <c r="O1313" i="42"/>
  <c r="O1314" i="42"/>
  <c r="O1315" i="42"/>
  <c r="O1316" i="42"/>
  <c r="O1317" i="42"/>
  <c r="O1318" i="42"/>
  <c r="O1319" i="42"/>
  <c r="O1320" i="42"/>
  <c r="O1321" i="42"/>
  <c r="O1322" i="42"/>
  <c r="O1323" i="42"/>
  <c r="O1324" i="42"/>
  <c r="O1325" i="42"/>
  <c r="O1326" i="42"/>
  <c r="O1327" i="42"/>
  <c r="O1328" i="42"/>
  <c r="O1329" i="42"/>
  <c r="O1330" i="42"/>
  <c r="O1331" i="42"/>
  <c r="O1332" i="42"/>
  <c r="O1333" i="42"/>
  <c r="O1334" i="42"/>
  <c r="O1335" i="42"/>
  <c r="O1336" i="42"/>
  <c r="O1337" i="42"/>
  <c r="O1338" i="42"/>
  <c r="O1339" i="42"/>
  <c r="O1340" i="42"/>
  <c r="O1341" i="42"/>
  <c r="O1342" i="42"/>
  <c r="O1343" i="42"/>
  <c r="O1344" i="42"/>
  <c r="O1345" i="42"/>
  <c r="O1346" i="42"/>
  <c r="O1347" i="42"/>
  <c r="O1348" i="42"/>
  <c r="O1349" i="42"/>
  <c r="O1350" i="42"/>
  <c r="O1351" i="42"/>
  <c r="O1352" i="42"/>
  <c r="O1353" i="42"/>
  <c r="O1354" i="42"/>
  <c r="O1355" i="42"/>
  <c r="O1356" i="42"/>
  <c r="O1357" i="42"/>
  <c r="O1360" i="42"/>
  <c r="O1361" i="42"/>
  <c r="O1362" i="42"/>
  <c r="O1363" i="42"/>
  <c r="O1364" i="42"/>
  <c r="O1365" i="42"/>
  <c r="O1366" i="42"/>
  <c r="O1367" i="42"/>
  <c r="O1368" i="42"/>
  <c r="O1369" i="42"/>
  <c r="O1370" i="42"/>
  <c r="O1371" i="42"/>
  <c r="O1372" i="42"/>
  <c r="O1373" i="42"/>
  <c r="O1374" i="42"/>
  <c r="O1375" i="42"/>
  <c r="O1376" i="42"/>
  <c r="O1377" i="42"/>
  <c r="O1378" i="42"/>
  <c r="O1379" i="42"/>
  <c r="O1380" i="42"/>
  <c r="O1381" i="42"/>
  <c r="O1382" i="42"/>
  <c r="O1383" i="42"/>
  <c r="O1384" i="42"/>
  <c r="O1385" i="42"/>
  <c r="O1386" i="42"/>
  <c r="O1387" i="42"/>
  <c r="O1388" i="42"/>
  <c r="O1389" i="42"/>
  <c r="O1390" i="42"/>
  <c r="O1391" i="42"/>
  <c r="O1392" i="42"/>
  <c r="O1393" i="42"/>
  <c r="O1394" i="42"/>
  <c r="O1395" i="42"/>
  <c r="O1396" i="42"/>
  <c r="O1397" i="42"/>
  <c r="O1398" i="42"/>
  <c r="O1399" i="42"/>
  <c r="O1400" i="42"/>
  <c r="O1401" i="42"/>
  <c r="O1402" i="42"/>
  <c r="O1403" i="42"/>
  <c r="O1404" i="42"/>
  <c r="O1405" i="42"/>
  <c r="O1406" i="42"/>
  <c r="O1407" i="42"/>
  <c r="O1408" i="42"/>
  <c r="O1409" i="42"/>
  <c r="O1410" i="42"/>
  <c r="O1411" i="42"/>
  <c r="O1412" i="42"/>
  <c r="O1413" i="42"/>
  <c r="O1414" i="42"/>
  <c r="O1415" i="42"/>
  <c r="O1416" i="42"/>
  <c r="O1417" i="42"/>
  <c r="O1418" i="42"/>
  <c r="O1419" i="42"/>
  <c r="N744" i="38"/>
  <c r="O744" i="38"/>
  <c r="P1420" i="42"/>
  <c r="O1481" i="42"/>
  <c r="O1482" i="42"/>
  <c r="O1483" i="42"/>
  <c r="O1484" i="42"/>
  <c r="O1485" i="42"/>
  <c r="O1486" i="42"/>
  <c r="O1487" i="42"/>
  <c r="O1488" i="42"/>
  <c r="O1489" i="42"/>
  <c r="O1490" i="42"/>
  <c r="O1491" i="42"/>
  <c r="O1492" i="42"/>
  <c r="O1493" i="42"/>
  <c r="O1494" i="42"/>
  <c r="O1495" i="42"/>
  <c r="O1496" i="42"/>
  <c r="O1497" i="42"/>
  <c r="O1498" i="42"/>
  <c r="O1499" i="42"/>
  <c r="O1500" i="42"/>
  <c r="O1501" i="42"/>
  <c r="O1502" i="42"/>
  <c r="O1503" i="42"/>
  <c r="O1504" i="42"/>
  <c r="O1505" i="42"/>
  <c r="O1506" i="42"/>
  <c r="O1507" i="42"/>
  <c r="O1508" i="42"/>
  <c r="O1509" i="42"/>
  <c r="O1510" i="42"/>
  <c r="O1511" i="42"/>
  <c r="O1512" i="42"/>
  <c r="O1513" i="42"/>
  <c r="O1514" i="42"/>
  <c r="O1515" i="42"/>
  <c r="O1516" i="42"/>
  <c r="O1517" i="42"/>
  <c r="O1518" i="42"/>
  <c r="O1519" i="42"/>
  <c r="O1520" i="42"/>
  <c r="O1521" i="42"/>
  <c r="O1522" i="42"/>
  <c r="O1523" i="42"/>
  <c r="O1524" i="42"/>
  <c r="O1525" i="42"/>
  <c r="O1526" i="42"/>
  <c r="O1527" i="42"/>
  <c r="O1528" i="42"/>
  <c r="O1529" i="42"/>
  <c r="O1530" i="42"/>
  <c r="O1531" i="42"/>
  <c r="O1532" i="42"/>
  <c r="O1533" i="42"/>
  <c r="O1534" i="42"/>
  <c r="O1535" i="42"/>
  <c r="O1536" i="42"/>
  <c r="O1537" i="42"/>
  <c r="O1538" i="42"/>
  <c r="O1539" i="42"/>
  <c r="O1540" i="42"/>
  <c r="O1420" i="42"/>
  <c r="P1482" i="42"/>
  <c r="P1483" i="42"/>
  <c r="P1484" i="42"/>
  <c r="P1485" i="42"/>
  <c r="P1486" i="42"/>
  <c r="P1487" i="42"/>
  <c r="P1488" i="42"/>
  <c r="P1489" i="42"/>
  <c r="P1490" i="42"/>
  <c r="P1491" i="42"/>
  <c r="P1492" i="42"/>
  <c r="P1493" i="42"/>
  <c r="P1494" i="42"/>
  <c r="P1495" i="42"/>
  <c r="P1496" i="42"/>
  <c r="P1497" i="42"/>
  <c r="P1498" i="42"/>
  <c r="P1499" i="42"/>
  <c r="P1500" i="42"/>
  <c r="P1501" i="42"/>
  <c r="P1502" i="42"/>
  <c r="P1503" i="42"/>
  <c r="P1504" i="42"/>
  <c r="P1505" i="42"/>
  <c r="P1506" i="42"/>
  <c r="P1507" i="42"/>
  <c r="P1508" i="42"/>
  <c r="P1509" i="42"/>
  <c r="P1510" i="42"/>
  <c r="P1511" i="42"/>
  <c r="P1512" i="42"/>
  <c r="P1513" i="42"/>
  <c r="P1514" i="42"/>
  <c r="P1515" i="42"/>
  <c r="P1516" i="42"/>
  <c r="P1517" i="42"/>
  <c r="P1518" i="42"/>
  <c r="P1519" i="42"/>
  <c r="P1520" i="42"/>
  <c r="P1521" i="42"/>
  <c r="P1522" i="42"/>
  <c r="P1523" i="42"/>
  <c r="P1524" i="42"/>
  <c r="P1525" i="42"/>
  <c r="P1526" i="42"/>
  <c r="P1527" i="42"/>
  <c r="P1528" i="42"/>
  <c r="P1529" i="42"/>
  <c r="P1530" i="42"/>
  <c r="P1531" i="42"/>
  <c r="P1532" i="42"/>
  <c r="P1533" i="42"/>
  <c r="P1534" i="42"/>
  <c r="P1535" i="42"/>
  <c r="P1536" i="42"/>
  <c r="P1537" i="42"/>
  <c r="P1538" i="42"/>
  <c r="P1539" i="42"/>
  <c r="P1540" i="42"/>
  <c r="P1481" i="42"/>
  <c r="O687" i="38"/>
  <c r="O688" i="38"/>
  <c r="O689" i="38"/>
  <c r="O690" i="38"/>
  <c r="O691" i="38"/>
  <c r="O692" i="38"/>
  <c r="O693" i="38"/>
  <c r="O694" i="38"/>
  <c r="O745" i="38"/>
  <c r="O746" i="38"/>
  <c r="O747" i="38"/>
  <c r="O748" i="38"/>
  <c r="O749" i="38"/>
  <c r="O750" i="38"/>
  <c r="O751" i="38"/>
  <c r="O752" i="38"/>
  <c r="O753" i="38"/>
  <c r="O754" i="38"/>
  <c r="O755" i="38"/>
  <c r="O756" i="38"/>
  <c r="N686" i="38"/>
  <c r="N687" i="38"/>
  <c r="N688" i="38"/>
  <c r="N689" i="38"/>
  <c r="N690" i="38"/>
  <c r="N691" i="38"/>
  <c r="N692" i="38"/>
  <c r="N693" i="38"/>
  <c r="N694" i="38"/>
  <c r="N745" i="38"/>
  <c r="N746" i="38"/>
  <c r="N747" i="38"/>
  <c r="N748" i="38"/>
  <c r="N749" i="38"/>
  <c r="N750" i="38"/>
  <c r="N751" i="38"/>
  <c r="N752" i="38"/>
  <c r="N753" i="38"/>
  <c r="N754" i="38"/>
  <c r="N755" i="38"/>
  <c r="N756" i="38"/>
  <c r="L687" i="38"/>
  <c r="L688" i="38"/>
  <c r="L689" i="38"/>
  <c r="L690" i="38"/>
  <c r="L691" i="38"/>
  <c r="L692" i="38"/>
  <c r="L693" i="38"/>
  <c r="L694" i="38"/>
  <c r="L686" i="38"/>
  <c r="O686" i="38"/>
  <c r="H918" i="38"/>
  <c r="L685" i="38"/>
  <c r="L677" i="38"/>
  <c r="L678" i="38"/>
  <c r="O678" i="38"/>
  <c r="N678" i="38"/>
  <c r="N677" i="38"/>
  <c r="O677" i="38"/>
  <c r="N685" i="38"/>
  <c r="O685" i="38"/>
  <c r="O680" i="38"/>
  <c r="O681" i="38"/>
  <c r="O682" i="38"/>
  <c r="O683" i="38"/>
  <c r="O684" i="38"/>
  <c r="N680" i="38"/>
  <c r="N681" i="38"/>
  <c r="N682" i="38"/>
  <c r="N683" i="38"/>
  <c r="N684" i="38"/>
  <c r="L681" i="38"/>
  <c r="L682" i="38"/>
  <c r="L683" i="38"/>
  <c r="L684" i="38"/>
  <c r="L680" i="38"/>
  <c r="P1270" i="42"/>
  <c r="P1271" i="42"/>
  <c r="P1272" i="42"/>
  <c r="P1273" i="42"/>
  <c r="P1274" i="42"/>
  <c r="P1275" i="42"/>
  <c r="P1276" i="42"/>
  <c r="P1277" i="42"/>
  <c r="P1278" i="42"/>
  <c r="P1279" i="42"/>
  <c r="P1280" i="42"/>
  <c r="P1281" i="42"/>
  <c r="P1282" i="42"/>
  <c r="P1283" i="42"/>
  <c r="P1284" i="42"/>
  <c r="O1284" i="42"/>
  <c r="P1285" i="42"/>
  <c r="P1286" i="42"/>
  <c r="O1286" i="42"/>
  <c r="P1287" i="42"/>
  <c r="P1288" i="42"/>
  <c r="P1289" i="42"/>
  <c r="O1289" i="42"/>
  <c r="P1290" i="42"/>
  <c r="P1291" i="42"/>
  <c r="P1292" i="42"/>
  <c r="P1293" i="42"/>
  <c r="P1294" i="42"/>
  <c r="P1295" i="42"/>
  <c r="P1296" i="42"/>
  <c r="P1297" i="42"/>
  <c r="O1270" i="42"/>
  <c r="O1271" i="42"/>
  <c r="O1272" i="42"/>
  <c r="O1273" i="42"/>
  <c r="O1274" i="42"/>
  <c r="O1275" i="42"/>
  <c r="O1276" i="42"/>
  <c r="O1277" i="42"/>
  <c r="O1278" i="42"/>
  <c r="O1279" i="42"/>
  <c r="O1280" i="42"/>
  <c r="O1281" i="42"/>
  <c r="O1282" i="42"/>
  <c r="O1283" i="42"/>
  <c r="O1285" i="42"/>
  <c r="O1287" i="42"/>
  <c r="O1288" i="42"/>
  <c r="O1290" i="42"/>
  <c r="O1291" i="42"/>
  <c r="O1292" i="42"/>
  <c r="O1293" i="42"/>
  <c r="O1294" i="42"/>
  <c r="O1295" i="42"/>
  <c r="O1296" i="42"/>
  <c r="O1297" i="42"/>
  <c r="O679" i="38"/>
  <c r="N679" i="38"/>
  <c r="L679" i="38"/>
  <c r="O1269" i="42"/>
  <c r="O707" i="42"/>
  <c r="O759" i="42"/>
  <c r="O750" i="42"/>
  <c r="O671" i="42"/>
  <c r="O724" i="42"/>
  <c r="O725" i="42"/>
  <c r="O672" i="42"/>
  <c r="O673" i="42"/>
  <c r="O721" i="42"/>
  <c r="O708" i="42"/>
  <c r="O704" i="42"/>
  <c r="O713" i="42"/>
  <c r="O714" i="42"/>
  <c r="O676" i="42"/>
  <c r="O698" i="42"/>
  <c r="O699" i="42"/>
  <c r="O760" i="42"/>
  <c r="O747" i="42"/>
  <c r="O753" i="42"/>
  <c r="O757" i="42"/>
  <c r="O765" i="42"/>
  <c r="O781" i="42"/>
  <c r="O782" i="42"/>
  <c r="O685" i="42"/>
  <c r="O686" i="42"/>
  <c r="O687" i="42"/>
  <c r="O775" i="42"/>
  <c r="O726" i="42"/>
  <c r="O730" i="42"/>
  <c r="O722" i="42"/>
  <c r="O709" i="42"/>
  <c r="O710" i="42"/>
  <c r="O705" i="42"/>
  <c r="O715" i="42"/>
  <c r="O677" i="42"/>
  <c r="O700" i="42"/>
  <c r="O701" i="42"/>
  <c r="O761" i="42"/>
  <c r="O762" i="42"/>
  <c r="O748" i="42"/>
  <c r="O754" i="42"/>
  <c r="O752" i="42"/>
  <c r="O758" i="42"/>
  <c r="O766" i="42"/>
  <c r="O732" i="42"/>
  <c r="O694" i="42"/>
  <c r="O742" i="42"/>
  <c r="O767" i="42"/>
  <c r="O783" i="42"/>
  <c r="O719" i="42"/>
  <c r="O688" i="42"/>
  <c r="O689" i="42"/>
  <c r="O776" i="42"/>
  <c r="O727" i="42"/>
  <c r="O731" i="42"/>
  <c r="O778" i="42"/>
  <c r="O674" i="42"/>
  <c r="O675" i="42"/>
  <c r="O723" i="42"/>
  <c r="O711" i="42"/>
  <c r="O712" i="42"/>
  <c r="O706" i="42"/>
  <c r="O716" i="42"/>
  <c r="O717" i="42"/>
  <c r="O678" i="42"/>
  <c r="O679" i="42"/>
  <c r="O763" i="42"/>
  <c r="O749" i="42"/>
  <c r="O755" i="42"/>
  <c r="O751" i="42"/>
  <c r="O756" i="42"/>
  <c r="O768" i="42"/>
  <c r="O718" i="42"/>
  <c r="O733" i="42"/>
  <c r="O734" i="42"/>
  <c r="O695" i="42"/>
  <c r="O696" i="42"/>
  <c r="O697" i="42"/>
  <c r="O743" i="42"/>
  <c r="O735" i="42"/>
  <c r="O744" i="42"/>
  <c r="O736" i="42"/>
  <c r="O769" i="42"/>
  <c r="O770" i="42"/>
  <c r="O771" i="42"/>
  <c r="O737" i="42"/>
  <c r="O738" i="42"/>
  <c r="O739" i="42"/>
  <c r="O745" i="42"/>
  <c r="O772" i="42"/>
  <c r="O740" i="42"/>
  <c r="O741" i="42"/>
  <c r="O746" i="42"/>
  <c r="O680" i="42"/>
  <c r="O681" i="42"/>
  <c r="O690" i="42"/>
  <c r="O691" i="42"/>
  <c r="O692" i="42"/>
  <c r="O693" i="42"/>
  <c r="O728" i="42"/>
  <c r="O702" i="42"/>
  <c r="O703" i="42"/>
  <c r="O764" i="42"/>
  <c r="O670" i="42"/>
  <c r="O785" i="42"/>
  <c r="O786" i="42"/>
  <c r="O784" i="42"/>
  <c r="O787" i="42"/>
  <c r="O788" i="42"/>
  <c r="O789" i="42"/>
  <c r="O790" i="42"/>
  <c r="O791" i="42"/>
  <c r="O792" i="42"/>
  <c r="O793" i="42"/>
  <c r="O794" i="42"/>
  <c r="O795" i="42"/>
  <c r="O796" i="42"/>
  <c r="O797" i="42"/>
  <c r="O798" i="42"/>
  <c r="O799" i="42"/>
  <c r="O800" i="42"/>
  <c r="O801" i="42"/>
  <c r="O810" i="42"/>
  <c r="O811" i="42"/>
  <c r="O812" i="42"/>
  <c r="O813" i="42"/>
  <c r="O814" i="42"/>
  <c r="O815" i="42"/>
  <c r="O816" i="42"/>
  <c r="O817" i="42"/>
  <c r="O802" i="42"/>
  <c r="O803" i="42"/>
  <c r="O804" i="42"/>
  <c r="O805" i="42"/>
  <c r="O806" i="42"/>
  <c r="O807" i="42"/>
  <c r="O808" i="42"/>
  <c r="O809" i="42"/>
  <c r="O819" i="42"/>
  <c r="O818" i="42"/>
  <c r="O821" i="42"/>
  <c r="O820" i="42"/>
  <c r="O835" i="42"/>
  <c r="O836" i="42"/>
  <c r="O837" i="42"/>
  <c r="O822" i="42"/>
  <c r="O823" i="42"/>
  <c r="O834" i="42"/>
  <c r="O833" i="42"/>
  <c r="O832" i="42"/>
  <c r="O827" i="42"/>
  <c r="O828" i="42"/>
  <c r="O825" i="42"/>
  <c r="O829" i="42"/>
  <c r="O826" i="42"/>
  <c r="O830" i="42"/>
  <c r="O831" i="42"/>
  <c r="O824" i="42"/>
  <c r="O839" i="42"/>
  <c r="O838" i="42"/>
  <c r="O842" i="42"/>
  <c r="O843" i="42"/>
  <c r="O840" i="42"/>
  <c r="O841" i="42"/>
  <c r="O845" i="42"/>
  <c r="O844" i="42"/>
  <c r="O846" i="42"/>
  <c r="O847" i="42"/>
  <c r="O852" i="42"/>
  <c r="O853" i="42"/>
  <c r="O848" i="42"/>
  <c r="O849" i="42"/>
  <c r="O850" i="42"/>
  <c r="O851" i="42"/>
  <c r="O854" i="42"/>
  <c r="O855" i="42"/>
  <c r="O856" i="42"/>
  <c r="O857" i="42"/>
  <c r="O858" i="42"/>
  <c r="O859" i="42"/>
  <c r="O860" i="42"/>
  <c r="O861" i="42"/>
  <c r="O862" i="42"/>
  <c r="O863" i="42"/>
  <c r="O864" i="42"/>
  <c r="O884" i="42"/>
  <c r="O885" i="42"/>
  <c r="O886" i="42"/>
  <c r="O887" i="42"/>
  <c r="O888" i="42"/>
  <c r="O889" i="42"/>
  <c r="O890" i="42"/>
  <c r="O891" i="42"/>
  <c r="O892" i="42"/>
  <c r="O893" i="42"/>
  <c r="O894" i="42"/>
  <c r="O895" i="42"/>
  <c r="O896" i="42"/>
  <c r="O897" i="42"/>
  <c r="O898" i="42"/>
  <c r="O899" i="42"/>
  <c r="O900" i="42"/>
  <c r="O901" i="42"/>
  <c r="O902" i="42"/>
  <c r="O865" i="42"/>
  <c r="O866" i="42"/>
  <c r="O867" i="42"/>
  <c r="O868" i="42"/>
  <c r="O869" i="42"/>
  <c r="O870" i="42"/>
  <c r="O871" i="42"/>
  <c r="O872" i="42"/>
  <c r="O873" i="42"/>
  <c r="O874" i="42"/>
  <c r="O875" i="42"/>
  <c r="O876" i="42"/>
  <c r="O877" i="42"/>
  <c r="O878" i="42"/>
  <c r="O879" i="42"/>
  <c r="O880" i="42"/>
  <c r="O881" i="42"/>
  <c r="O882" i="42"/>
  <c r="O883" i="42"/>
  <c r="O923" i="42"/>
  <c r="O924" i="42"/>
  <c r="O925" i="42"/>
  <c r="O926" i="42"/>
  <c r="O927" i="42"/>
  <c r="O928" i="42"/>
  <c r="O929" i="42"/>
  <c r="O930" i="42"/>
  <c r="O931" i="42"/>
  <c r="O932" i="42"/>
  <c r="O933" i="42"/>
  <c r="O934" i="42"/>
  <c r="O935" i="42"/>
  <c r="O936" i="42"/>
  <c r="O937" i="42"/>
  <c r="O938" i="42"/>
  <c r="O939" i="42"/>
  <c r="O940" i="42"/>
  <c r="O941" i="42"/>
  <c r="O903" i="42"/>
  <c r="O904" i="42"/>
  <c r="O905" i="42"/>
  <c r="O906" i="42"/>
  <c r="O907" i="42"/>
  <c r="O908" i="42"/>
  <c r="O909" i="42"/>
  <c r="O910" i="42"/>
  <c r="O911" i="42"/>
  <c r="O912" i="42"/>
  <c r="O913" i="42"/>
  <c r="O914" i="42"/>
  <c r="O915" i="42"/>
  <c r="O916" i="42"/>
  <c r="O917" i="42"/>
  <c r="O918" i="42"/>
  <c r="O919" i="42"/>
  <c r="O920" i="42"/>
  <c r="O921" i="42"/>
  <c r="O922" i="42"/>
  <c r="O942" i="42"/>
  <c r="O943" i="42"/>
  <c r="O944" i="42"/>
  <c r="O945" i="42"/>
  <c r="O946" i="42"/>
  <c r="O947" i="42"/>
  <c r="O948" i="42"/>
  <c r="O949" i="42"/>
  <c r="O950" i="42"/>
  <c r="O951" i="42"/>
  <c r="O962" i="42"/>
  <c r="O963" i="42"/>
  <c r="O964" i="42"/>
  <c r="O965" i="42"/>
  <c r="O966" i="42"/>
  <c r="O967" i="42"/>
  <c r="O968" i="42"/>
  <c r="O969" i="42"/>
  <c r="O970" i="42"/>
  <c r="O971" i="42"/>
  <c r="O952" i="42"/>
  <c r="O953" i="42"/>
  <c r="O954" i="42"/>
  <c r="O955" i="42"/>
  <c r="O956" i="42"/>
  <c r="O957" i="42"/>
  <c r="O958" i="42"/>
  <c r="O959" i="42"/>
  <c r="O960" i="42"/>
  <c r="O961" i="42"/>
  <c r="O972" i="42"/>
  <c r="O973" i="42"/>
  <c r="O974" i="42"/>
  <c r="O975" i="42"/>
  <c r="O976" i="42"/>
  <c r="O977" i="42"/>
  <c r="O978" i="42"/>
  <c r="O979" i="42"/>
  <c r="O980" i="42"/>
  <c r="O981" i="42"/>
  <c r="O982" i="42"/>
  <c r="O983" i="42"/>
  <c r="O984" i="42"/>
  <c r="O985" i="42"/>
  <c r="O986" i="42"/>
  <c r="O987" i="42"/>
  <c r="O988" i="42"/>
  <c r="O989" i="42"/>
  <c r="O990" i="42"/>
  <c r="O991" i="42"/>
  <c r="O992" i="42"/>
  <c r="O993" i="42"/>
  <c r="O994" i="42"/>
  <c r="O995" i="42"/>
  <c r="O996" i="42"/>
  <c r="O997" i="42"/>
  <c r="O998" i="42"/>
  <c r="O999" i="42"/>
  <c r="O1000" i="42"/>
  <c r="O1001" i="42"/>
  <c r="O1002" i="42"/>
  <c r="O1003" i="42"/>
  <c r="O1004" i="42"/>
  <c r="O1005" i="42"/>
  <c r="O1006" i="42"/>
  <c r="O1007" i="42"/>
  <c r="O1008" i="42"/>
  <c r="O1009" i="42"/>
  <c r="O1010" i="42"/>
  <c r="O1011" i="42"/>
  <c r="O1012" i="42"/>
  <c r="O1013" i="42"/>
  <c r="O1014" i="42"/>
  <c r="O1015" i="42"/>
  <c r="O1016" i="42"/>
  <c r="O1017" i="42"/>
  <c r="O1018" i="42"/>
  <c r="O1019" i="42"/>
  <c r="O1020" i="42"/>
  <c r="O1021" i="42"/>
  <c r="O1022" i="42"/>
  <c r="O1023" i="42"/>
  <c r="O1024" i="42"/>
  <c r="O1025" i="42"/>
  <c r="O1026" i="42"/>
  <c r="O1027" i="42"/>
  <c r="O1028" i="42"/>
  <c r="O1029" i="42"/>
  <c r="O1030" i="42"/>
  <c r="O1031" i="42"/>
  <c r="O1032" i="42"/>
  <c r="O1033" i="42"/>
  <c r="O1034" i="42"/>
  <c r="O1035" i="42"/>
  <c r="O1040" i="42"/>
  <c r="O1041" i="42"/>
  <c r="O1042" i="42"/>
  <c r="O1043" i="42"/>
  <c r="O1044" i="42"/>
  <c r="O1045" i="42"/>
  <c r="O1046" i="42"/>
  <c r="O1047" i="42"/>
  <c r="O1048" i="42"/>
  <c r="O1049" i="42"/>
  <c r="O1050" i="42"/>
  <c r="O1051" i="42"/>
  <c r="O1052" i="42"/>
  <c r="O1053" i="42"/>
  <c r="O1054" i="42"/>
  <c r="O1055" i="42"/>
  <c r="O1056" i="42"/>
  <c r="O1036" i="42"/>
  <c r="O1037" i="42"/>
  <c r="O1038" i="42"/>
  <c r="O1039" i="42"/>
  <c r="O1087" i="42"/>
  <c r="O1088" i="42"/>
  <c r="O1057" i="42"/>
  <c r="O1058" i="42"/>
  <c r="O1059" i="42"/>
  <c r="O1060" i="42"/>
  <c r="O1061" i="42"/>
  <c r="O1062" i="42"/>
  <c r="O1063" i="42"/>
  <c r="O1064" i="42"/>
  <c r="O1065" i="42"/>
  <c r="O1066" i="42"/>
  <c r="O1067" i="42"/>
  <c r="O1068" i="42"/>
  <c r="O1069" i="42"/>
  <c r="O1070" i="42"/>
  <c r="O1071" i="42"/>
  <c r="O1072" i="42"/>
  <c r="O1073" i="42"/>
  <c r="O1074" i="42"/>
  <c r="O1075" i="42"/>
  <c r="O1076" i="42"/>
  <c r="O1077" i="42"/>
  <c r="O1078" i="42"/>
  <c r="O1079" i="42"/>
  <c r="O1080" i="42"/>
  <c r="O1081" i="42"/>
  <c r="O1082" i="42"/>
  <c r="O1083" i="42"/>
  <c r="O1084" i="42"/>
  <c r="O1085" i="42"/>
  <c r="O1086" i="42"/>
  <c r="O1097" i="42"/>
  <c r="O1098" i="42"/>
  <c r="O1099" i="42"/>
  <c r="O1100" i="42"/>
  <c r="O1101" i="42"/>
  <c r="O1102" i="42"/>
  <c r="O1103" i="42"/>
  <c r="O1104" i="42"/>
  <c r="O1105" i="42"/>
  <c r="O1106" i="42"/>
  <c r="O1107" i="42"/>
  <c r="O1108" i="42"/>
  <c r="O1109" i="42"/>
  <c r="O1110" i="42"/>
  <c r="O1111" i="42"/>
  <c r="O1112" i="42"/>
  <c r="O1113" i="42"/>
  <c r="O1114" i="42"/>
  <c r="O1115" i="42"/>
  <c r="O1116" i="42"/>
  <c r="O1117" i="42"/>
  <c r="O1118" i="42"/>
  <c r="O1119" i="42"/>
  <c r="O1120" i="42"/>
  <c r="O1121" i="42"/>
  <c r="O1122" i="42"/>
  <c r="O1123" i="42"/>
  <c r="O1124" i="42"/>
  <c r="O1125" i="42"/>
  <c r="O1126" i="42"/>
  <c r="O1093" i="42"/>
  <c r="O1094" i="42"/>
  <c r="O1095" i="42"/>
  <c r="O1096" i="42"/>
  <c r="O1089" i="42"/>
  <c r="O1090" i="42"/>
  <c r="O1091" i="42"/>
  <c r="O1092" i="42"/>
  <c r="O1127" i="42"/>
  <c r="O1128" i="42"/>
  <c r="O1129" i="42"/>
  <c r="O1130" i="42"/>
  <c r="O1131" i="42"/>
  <c r="O1132" i="42"/>
  <c r="O1133" i="42"/>
  <c r="O1134" i="42"/>
  <c r="O1135" i="42"/>
  <c r="O1136" i="42"/>
  <c r="O1137" i="42"/>
  <c r="O1138" i="42"/>
  <c r="O1139" i="42"/>
  <c r="O1140" i="42"/>
  <c r="O1141" i="42"/>
  <c r="O1142" i="42"/>
  <c r="O1143" i="42"/>
  <c r="O1144" i="42"/>
  <c r="O1145" i="42"/>
  <c r="O1146" i="42"/>
  <c r="O1147" i="42"/>
  <c r="O1148" i="42"/>
  <c r="O1149" i="42"/>
  <c r="O1150" i="42"/>
  <c r="O1151" i="42"/>
  <c r="O1152" i="42"/>
  <c r="O1153" i="42"/>
  <c r="O1154" i="42"/>
  <c r="O1155" i="42"/>
  <c r="O1156" i="42"/>
  <c r="O1158" i="42"/>
  <c r="O1157" i="42"/>
  <c r="O1218" i="42"/>
  <c r="O1219" i="42"/>
  <c r="O1220" i="42"/>
  <c r="O1221" i="42"/>
  <c r="O1222" i="42"/>
  <c r="O1223" i="42"/>
  <c r="O1224" i="42"/>
  <c r="O1225" i="42"/>
  <c r="O1232" i="42"/>
  <c r="O1233" i="42"/>
  <c r="O1234" i="42"/>
  <c r="O1235" i="42"/>
  <c r="O1236" i="42"/>
  <c r="O1237" i="42"/>
  <c r="O1238" i="42"/>
  <c r="O1239" i="42"/>
  <c r="O1240" i="42"/>
  <c r="O1241" i="42"/>
  <c r="O1242" i="42"/>
  <c r="O1243" i="42"/>
  <c r="O1244" i="42"/>
  <c r="O1245" i="42"/>
  <c r="O1246" i="42"/>
  <c r="O1226" i="42"/>
  <c r="O1227" i="42"/>
  <c r="O1228" i="42"/>
  <c r="O1229" i="42"/>
  <c r="O1230" i="42"/>
  <c r="O1231" i="42"/>
  <c r="O1214" i="42"/>
  <c r="O1215" i="42"/>
  <c r="O1216" i="42"/>
  <c r="O1217" i="42"/>
  <c r="O1208" i="42"/>
  <c r="O1209" i="42"/>
  <c r="O1210" i="42"/>
  <c r="O1200" i="42"/>
  <c r="O1201" i="42"/>
  <c r="O1202" i="42"/>
  <c r="O1203" i="42"/>
  <c r="O1204" i="42"/>
  <c r="O1211" i="42"/>
  <c r="O1212" i="42"/>
  <c r="O1213" i="42"/>
  <c r="O1199" i="42"/>
  <c r="O1198" i="42"/>
  <c r="O1197" i="42"/>
  <c r="O1196" i="42"/>
  <c r="O1183" i="42"/>
  <c r="O1184" i="42"/>
  <c r="O1185" i="42"/>
  <c r="O1186" i="42"/>
  <c r="O1187" i="42"/>
  <c r="O1188" i="42"/>
  <c r="O1189" i="42"/>
  <c r="O1190" i="42"/>
  <c r="O1191" i="42"/>
  <c r="O1192" i="42"/>
  <c r="O1193" i="42"/>
  <c r="O1194" i="42"/>
  <c r="O1195" i="42"/>
  <c r="O1164" i="42"/>
  <c r="O1165" i="42"/>
  <c r="O1166" i="42"/>
  <c r="O1167" i="42"/>
  <c r="O1168" i="42"/>
  <c r="O1169" i="42"/>
  <c r="O1170" i="42"/>
  <c r="O1171" i="42"/>
  <c r="O1172" i="42"/>
  <c r="O1173" i="42"/>
  <c r="O1174" i="42"/>
  <c r="O1175" i="42"/>
  <c r="O1176" i="42"/>
  <c r="O1177" i="42"/>
  <c r="O1178" i="42"/>
  <c r="O1179" i="42"/>
  <c r="O1180" i="42"/>
  <c r="O1181" i="42"/>
  <c r="O1182" i="42"/>
  <c r="O1161" i="42"/>
  <c r="O1162" i="42"/>
  <c r="O1163" i="42"/>
  <c r="O1159" i="42"/>
  <c r="O1160" i="42"/>
  <c r="O1205" i="42"/>
  <c r="O1206" i="42"/>
  <c r="O1207" i="42"/>
  <c r="O1247" i="42"/>
  <c r="O1248" i="42"/>
  <c r="O1249" i="42"/>
  <c r="O1250" i="42"/>
  <c r="O1251" i="42"/>
  <c r="O1252" i="42"/>
  <c r="O1253" i="42"/>
  <c r="O1254" i="42"/>
  <c r="O1260" i="42"/>
  <c r="O1261" i="42"/>
  <c r="O1262" i="42"/>
  <c r="O1256" i="42"/>
  <c r="O1257" i="42"/>
  <c r="O1258" i="42"/>
  <c r="O1259" i="42"/>
  <c r="O1255" i="42"/>
  <c r="O1265" i="42"/>
  <c r="O1263" i="42"/>
  <c r="O1264" i="42"/>
  <c r="O1266" i="42"/>
  <c r="O1267" i="42"/>
  <c r="O1268" i="42"/>
  <c r="H917" i="38"/>
  <c r="O623" i="38"/>
  <c r="P623" i="38" s="1"/>
  <c r="Q623" i="38" s="1"/>
  <c r="N623" i="38"/>
  <c r="L623" i="38"/>
  <c r="O622" i="38"/>
  <c r="P622" i="38" s="1"/>
  <c r="Q622" i="38" s="1"/>
  <c r="N622" i="38"/>
  <c r="L622" i="38"/>
  <c r="O621" i="38"/>
  <c r="P621" i="38" s="1"/>
  <c r="Q621" i="38" s="1"/>
  <c r="N621" i="38"/>
  <c r="L621" i="38"/>
  <c r="O620" i="38"/>
  <c r="P620" i="38" s="1"/>
  <c r="Q620" i="38" s="1"/>
  <c r="N620" i="38"/>
  <c r="L620" i="38"/>
  <c r="O619" i="38"/>
  <c r="P619" i="38" s="1"/>
  <c r="Q619" i="38" s="1"/>
  <c r="N619" i="38"/>
  <c r="L619" i="38"/>
  <c r="O618" i="38"/>
  <c r="P618" i="38" s="1"/>
  <c r="Q618" i="38" s="1"/>
  <c r="N618" i="38"/>
  <c r="L618" i="38"/>
  <c r="O617" i="38"/>
  <c r="P617" i="38" s="1"/>
  <c r="Q617" i="38" s="1"/>
  <c r="N617" i="38"/>
  <c r="L617" i="38"/>
  <c r="O616" i="38"/>
  <c r="P616" i="38" s="1"/>
  <c r="Q616" i="38" s="1"/>
  <c r="N616" i="38"/>
  <c r="L616" i="38"/>
  <c r="O615" i="38"/>
  <c r="P615" i="38" s="1"/>
  <c r="Q615" i="38" s="1"/>
  <c r="N615" i="38"/>
  <c r="L615" i="38"/>
  <c r="O614" i="38"/>
  <c r="P614" i="38" s="1"/>
  <c r="Q614" i="38" s="1"/>
  <c r="N614" i="38"/>
  <c r="L614" i="38"/>
  <c r="O613" i="38"/>
  <c r="P613" i="38" s="1"/>
  <c r="Q613" i="38" s="1"/>
  <c r="N613" i="38"/>
  <c r="L613" i="38"/>
  <c r="O612" i="38"/>
  <c r="P612" i="38" s="1"/>
  <c r="Q612" i="38" s="1"/>
  <c r="N612" i="38"/>
  <c r="L612" i="38"/>
  <c r="O611" i="38"/>
  <c r="P611" i="38" s="1"/>
  <c r="Q611" i="38" s="1"/>
  <c r="N611" i="38"/>
  <c r="L611" i="38"/>
  <c r="O610" i="38"/>
  <c r="P610" i="38" s="1"/>
  <c r="Q610" i="38" s="1"/>
  <c r="N610" i="38"/>
  <c r="L610" i="38"/>
  <c r="O609" i="38"/>
  <c r="P609" i="38" s="1"/>
  <c r="Q609" i="38" s="1"/>
  <c r="N609" i="38"/>
  <c r="L609" i="38"/>
  <c r="O608" i="38"/>
  <c r="P608" i="38" s="1"/>
  <c r="Q608" i="38" s="1"/>
  <c r="N608" i="38"/>
  <c r="L608" i="38"/>
  <c r="O607" i="38"/>
  <c r="P607" i="38" s="1"/>
  <c r="Q607" i="38" s="1"/>
  <c r="N607" i="38"/>
  <c r="L607" i="38"/>
  <c r="O606" i="38"/>
  <c r="P606" i="38" s="1"/>
  <c r="Q606" i="38" s="1"/>
  <c r="N606" i="38"/>
  <c r="L606" i="38"/>
  <c r="O605" i="38"/>
  <c r="P605" i="38" s="1"/>
  <c r="Q605" i="38" s="1"/>
  <c r="N605" i="38"/>
  <c r="L605" i="38"/>
  <c r="O604" i="38"/>
  <c r="P604" i="38" s="1"/>
  <c r="Q604" i="38" s="1"/>
  <c r="N604" i="38"/>
  <c r="L604" i="38"/>
  <c r="O603" i="38"/>
  <c r="P603" i="38" s="1"/>
  <c r="Q603" i="38" s="1"/>
  <c r="N603" i="38"/>
  <c r="L603" i="38"/>
  <c r="O602" i="38"/>
  <c r="P602" i="38" s="1"/>
  <c r="Q602" i="38" s="1"/>
  <c r="N602" i="38"/>
  <c r="L602" i="38"/>
  <c r="O601" i="38"/>
  <c r="P601" i="38" s="1"/>
  <c r="Q601" i="38" s="1"/>
  <c r="N601" i="38"/>
  <c r="L601" i="38"/>
  <c r="O600" i="38"/>
  <c r="P600" i="38" s="1"/>
  <c r="Q600" i="38" s="1"/>
  <c r="N600" i="38"/>
  <c r="L600" i="38"/>
  <c r="O599" i="38"/>
  <c r="P599" i="38" s="1"/>
  <c r="Q599" i="38" s="1"/>
  <c r="N599" i="38"/>
  <c r="L599" i="38"/>
  <c r="O598" i="38"/>
  <c r="P598" i="38" s="1"/>
  <c r="Q598" i="38" s="1"/>
  <c r="N598" i="38"/>
  <c r="L598" i="38"/>
  <c r="O597" i="38"/>
  <c r="P597" i="38" s="1"/>
  <c r="Q597" i="38" s="1"/>
  <c r="N597" i="38"/>
  <c r="L597" i="38"/>
  <c r="O596" i="38"/>
  <c r="P596" i="38" s="1"/>
  <c r="Q596" i="38" s="1"/>
  <c r="N596" i="38"/>
  <c r="L596" i="38"/>
  <c r="O595" i="38"/>
  <c r="P595" i="38" s="1"/>
  <c r="Q595" i="38" s="1"/>
  <c r="N595" i="38"/>
  <c r="L595" i="38"/>
  <c r="O594" i="38"/>
  <c r="P594" i="38" s="1"/>
  <c r="Q594" i="38" s="1"/>
  <c r="N594" i="38"/>
  <c r="L594" i="38"/>
  <c r="O593" i="38"/>
  <c r="P593" i="38" s="1"/>
  <c r="Q593" i="38" s="1"/>
  <c r="N593" i="38"/>
  <c r="L593" i="38"/>
  <c r="O592" i="38"/>
  <c r="P592" i="38" s="1"/>
  <c r="Q592" i="38" s="1"/>
  <c r="N592" i="38"/>
  <c r="L592" i="38"/>
  <c r="O591" i="38"/>
  <c r="P591" i="38" s="1"/>
  <c r="Q591" i="38" s="1"/>
  <c r="N591" i="38"/>
  <c r="L591" i="38"/>
  <c r="O590" i="38"/>
  <c r="P590" i="38" s="1"/>
  <c r="Q590" i="38" s="1"/>
  <c r="N590" i="38"/>
  <c r="L590" i="38"/>
  <c r="O589" i="38"/>
  <c r="P589" i="38" s="1"/>
  <c r="Q589" i="38" s="1"/>
  <c r="N589" i="38"/>
  <c r="L589" i="38"/>
  <c r="O588" i="38"/>
  <c r="P588" i="38" s="1"/>
  <c r="Q588" i="38" s="1"/>
  <c r="N588" i="38"/>
  <c r="L588" i="38"/>
  <c r="O587" i="38"/>
  <c r="P587" i="38" s="1"/>
  <c r="Q587" i="38" s="1"/>
  <c r="N587" i="38"/>
  <c r="L587" i="38"/>
  <c r="O586" i="38"/>
  <c r="P586" i="38" s="1"/>
  <c r="Q586" i="38" s="1"/>
  <c r="N586" i="38"/>
  <c r="L586" i="38"/>
  <c r="O585" i="38"/>
  <c r="P585" i="38" s="1"/>
  <c r="Q585" i="38" s="1"/>
  <c r="N585" i="38"/>
  <c r="L585" i="38"/>
  <c r="O584" i="38"/>
  <c r="P584" i="38" s="1"/>
  <c r="Q584" i="38" s="1"/>
  <c r="N584" i="38"/>
  <c r="L584" i="38"/>
  <c r="O583" i="38"/>
  <c r="P583" i="38" s="1"/>
  <c r="Q583" i="38" s="1"/>
  <c r="N583" i="38"/>
  <c r="L583" i="38"/>
  <c r="O582" i="38"/>
  <c r="P582" i="38" s="1"/>
  <c r="Q582" i="38" s="1"/>
  <c r="N582" i="38"/>
  <c r="L582" i="38"/>
  <c r="O581" i="38"/>
  <c r="P581" i="38" s="1"/>
  <c r="Q581" i="38" s="1"/>
  <c r="N581" i="38"/>
  <c r="L581" i="38"/>
  <c r="O580" i="38"/>
  <c r="P580" i="38" s="1"/>
  <c r="Q580" i="38" s="1"/>
  <c r="N580" i="38"/>
  <c r="L580" i="38"/>
  <c r="O579" i="38"/>
  <c r="P579" i="38" s="1"/>
  <c r="Q579" i="38" s="1"/>
  <c r="N579" i="38"/>
  <c r="L579" i="38"/>
  <c r="O578" i="38"/>
  <c r="P578" i="38" s="1"/>
  <c r="Q578" i="38" s="1"/>
  <c r="N578" i="38"/>
  <c r="L578" i="38"/>
  <c r="O577" i="38"/>
  <c r="P577" i="38" s="1"/>
  <c r="Q577" i="38" s="1"/>
  <c r="N577" i="38"/>
  <c r="L577" i="38"/>
  <c r="O576" i="38"/>
  <c r="P576" i="38" s="1"/>
  <c r="Q576" i="38" s="1"/>
  <c r="N576" i="38"/>
  <c r="L576" i="38"/>
  <c r="O575" i="38"/>
  <c r="P575" i="38" s="1"/>
  <c r="Q575" i="38" s="1"/>
  <c r="N575" i="38"/>
  <c r="L575" i="38"/>
  <c r="O574" i="38"/>
  <c r="P574" i="38" s="1"/>
  <c r="Q574" i="38" s="1"/>
  <c r="N574" i="38"/>
  <c r="L574" i="38"/>
  <c r="O573" i="38"/>
  <c r="P573" i="38" s="1"/>
  <c r="Q573" i="38" s="1"/>
  <c r="N573" i="38"/>
  <c r="L573" i="38"/>
  <c r="O572" i="38"/>
  <c r="P572" i="38" s="1"/>
  <c r="Q572" i="38" s="1"/>
  <c r="N572" i="38"/>
  <c r="L572" i="38"/>
  <c r="O571" i="38"/>
  <c r="P571" i="38" s="1"/>
  <c r="Q571" i="38" s="1"/>
  <c r="N571" i="38"/>
  <c r="L571" i="38"/>
  <c r="O570" i="38"/>
  <c r="P570" i="38" s="1"/>
  <c r="Q570" i="38" s="1"/>
  <c r="N570" i="38"/>
  <c r="L570" i="38"/>
  <c r="O569" i="38"/>
  <c r="P569" i="38" s="1"/>
  <c r="Q569" i="38" s="1"/>
  <c r="N569" i="38"/>
  <c r="L569" i="38"/>
  <c r="O568" i="38"/>
  <c r="P568" i="38" s="1"/>
  <c r="Q568" i="38" s="1"/>
  <c r="N568" i="38"/>
  <c r="L568" i="38"/>
  <c r="O567" i="38"/>
  <c r="P567" i="38" s="1"/>
  <c r="Q567" i="38" s="1"/>
  <c r="N567" i="38"/>
  <c r="L567" i="38"/>
  <c r="O566" i="38"/>
  <c r="P566" i="38" s="1"/>
  <c r="Q566" i="38" s="1"/>
  <c r="N566" i="38"/>
  <c r="L566" i="38"/>
  <c r="O565" i="38"/>
  <c r="P565" i="38" s="1"/>
  <c r="Q565" i="38" s="1"/>
  <c r="N565" i="38"/>
  <c r="L565" i="38"/>
  <c r="O564" i="38"/>
  <c r="P564" i="38" s="1"/>
  <c r="Q564" i="38" s="1"/>
  <c r="N564" i="38"/>
  <c r="L564" i="38"/>
  <c r="O563" i="38"/>
  <c r="P563" i="38" s="1"/>
  <c r="Q563" i="38" s="1"/>
  <c r="N563" i="38"/>
  <c r="L563" i="38"/>
  <c r="O562" i="38"/>
  <c r="P562" i="38" s="1"/>
  <c r="Q562" i="38" s="1"/>
  <c r="N562" i="38"/>
  <c r="L562" i="38"/>
  <c r="O561" i="38"/>
  <c r="P561" i="38" s="1"/>
  <c r="Q561" i="38" s="1"/>
  <c r="N561" i="38"/>
  <c r="L561" i="38"/>
  <c r="O560" i="38"/>
  <c r="P560" i="38" s="1"/>
  <c r="Q560" i="38" s="1"/>
  <c r="N560" i="38"/>
  <c r="L560" i="38"/>
  <c r="O559" i="38"/>
  <c r="P559" i="38" s="1"/>
  <c r="Q559" i="38" s="1"/>
  <c r="N559" i="38"/>
  <c r="L559" i="38"/>
  <c r="O558" i="38"/>
  <c r="P558" i="38" s="1"/>
  <c r="Q558" i="38" s="1"/>
  <c r="N558" i="38"/>
  <c r="L558" i="38"/>
  <c r="O557" i="38"/>
  <c r="P557" i="38" s="1"/>
  <c r="Q557" i="38" s="1"/>
  <c r="N557" i="38"/>
  <c r="L557" i="38"/>
  <c r="O556" i="38"/>
  <c r="P556" i="38" s="1"/>
  <c r="Q556" i="38" s="1"/>
  <c r="N556" i="38"/>
  <c r="L556" i="38"/>
  <c r="O555" i="38"/>
  <c r="P555" i="38" s="1"/>
  <c r="Q555" i="38" s="1"/>
  <c r="N555" i="38"/>
  <c r="L555" i="38"/>
  <c r="O554" i="38"/>
  <c r="P554" i="38" s="1"/>
  <c r="Q554" i="38" s="1"/>
  <c r="N554" i="38"/>
  <c r="L554" i="38"/>
  <c r="O553" i="38"/>
  <c r="P553" i="38" s="1"/>
  <c r="Q553" i="38" s="1"/>
  <c r="N553" i="38"/>
  <c r="L553" i="38"/>
  <c r="O552" i="38"/>
  <c r="P552" i="38" s="1"/>
  <c r="Q552" i="38" s="1"/>
  <c r="N552" i="38"/>
  <c r="L552" i="38"/>
  <c r="O551" i="38"/>
  <c r="P551" i="38" s="1"/>
  <c r="Q551" i="38" s="1"/>
  <c r="N551" i="38"/>
  <c r="L551" i="38"/>
  <c r="O550" i="38"/>
  <c r="P550" i="38" s="1"/>
  <c r="Q550" i="38" s="1"/>
  <c r="N550" i="38"/>
  <c r="L550" i="38"/>
  <c r="O549" i="38"/>
  <c r="P549" i="38" s="1"/>
  <c r="Q549" i="38" s="1"/>
  <c r="N549" i="38"/>
  <c r="L549" i="38"/>
  <c r="O548" i="38"/>
  <c r="P548" i="38" s="1"/>
  <c r="Q548" i="38" s="1"/>
  <c r="N548" i="38"/>
  <c r="L548" i="38"/>
  <c r="O547" i="38"/>
  <c r="P547" i="38" s="1"/>
  <c r="Q547" i="38" s="1"/>
  <c r="N547" i="38"/>
  <c r="L547" i="38"/>
  <c r="O546" i="38"/>
  <c r="P546" i="38" s="1"/>
  <c r="Q546" i="38" s="1"/>
  <c r="N546" i="38"/>
  <c r="L546" i="38"/>
  <c r="O545" i="38"/>
  <c r="P545" i="38" s="1"/>
  <c r="Q545" i="38" s="1"/>
  <c r="N545" i="38"/>
  <c r="L545" i="38"/>
  <c r="O544" i="38"/>
  <c r="P544" i="38" s="1"/>
  <c r="Q544" i="38" s="1"/>
  <c r="N544" i="38"/>
  <c r="L544" i="38"/>
  <c r="O543" i="38"/>
  <c r="P543" i="38" s="1"/>
  <c r="Q543" i="38" s="1"/>
  <c r="N543" i="38"/>
  <c r="L543" i="38"/>
  <c r="O542" i="38"/>
  <c r="P542" i="38" s="1"/>
  <c r="Q542" i="38" s="1"/>
  <c r="N542" i="38"/>
  <c r="L542" i="38"/>
  <c r="O541" i="38"/>
  <c r="P541" i="38" s="1"/>
  <c r="Q541" i="38" s="1"/>
  <c r="N541" i="38"/>
  <c r="L541" i="38"/>
  <c r="O540" i="38"/>
  <c r="P540" i="38" s="1"/>
  <c r="Q540" i="38" s="1"/>
  <c r="N540" i="38"/>
  <c r="L540" i="38"/>
  <c r="O539" i="38"/>
  <c r="P539" i="38" s="1"/>
  <c r="Q539" i="38" s="1"/>
  <c r="N539" i="38"/>
  <c r="L539" i="38"/>
  <c r="O538" i="38"/>
  <c r="P538" i="38" s="1"/>
  <c r="Q538" i="38" s="1"/>
  <c r="N538" i="38"/>
  <c r="L538" i="38"/>
  <c r="O537" i="38"/>
  <c r="P537" i="38" s="1"/>
  <c r="Q537" i="38" s="1"/>
  <c r="N537" i="38"/>
  <c r="L537" i="38"/>
  <c r="O536" i="38"/>
  <c r="P536" i="38" s="1"/>
  <c r="Q536" i="38" s="1"/>
  <c r="N536" i="38"/>
  <c r="L536" i="38"/>
  <c r="O535" i="38"/>
  <c r="P535" i="38" s="1"/>
  <c r="Q535" i="38" s="1"/>
  <c r="N535" i="38"/>
  <c r="L535" i="38"/>
  <c r="O534" i="38"/>
  <c r="P534" i="38" s="1"/>
  <c r="Q534" i="38" s="1"/>
  <c r="N534" i="38"/>
  <c r="L534" i="38"/>
  <c r="O533" i="38"/>
  <c r="P533" i="38" s="1"/>
  <c r="Q533" i="38" s="1"/>
  <c r="N533" i="38"/>
  <c r="L533" i="38"/>
  <c r="O532" i="38"/>
  <c r="P532" i="38" s="1"/>
  <c r="Q532" i="38" s="1"/>
  <c r="N532" i="38"/>
  <c r="L532" i="38"/>
  <c r="O531" i="38"/>
  <c r="P531" i="38" s="1"/>
  <c r="Q531" i="38" s="1"/>
  <c r="N531" i="38"/>
  <c r="L531" i="38"/>
  <c r="O530" i="38"/>
  <c r="P530" i="38" s="1"/>
  <c r="Q530" i="38" s="1"/>
  <c r="N530" i="38"/>
  <c r="L530" i="38"/>
  <c r="O529" i="38"/>
  <c r="P529" i="38" s="1"/>
  <c r="Q529" i="38" s="1"/>
  <c r="N529" i="38"/>
  <c r="L529" i="38"/>
  <c r="O528" i="38"/>
  <c r="P528" i="38" s="1"/>
  <c r="Q528" i="38" s="1"/>
  <c r="N528" i="38"/>
  <c r="L528" i="38"/>
  <c r="O527" i="38"/>
  <c r="P527" i="38" s="1"/>
  <c r="Q527" i="38" s="1"/>
  <c r="N527" i="38"/>
  <c r="L527" i="38"/>
  <c r="O526" i="38"/>
  <c r="P526" i="38" s="1"/>
  <c r="Q526" i="38" s="1"/>
  <c r="N526" i="38"/>
  <c r="L526" i="38"/>
  <c r="O525" i="38"/>
  <c r="P525" i="38" s="1"/>
  <c r="Q525" i="38" s="1"/>
  <c r="N525" i="38"/>
  <c r="L525" i="38"/>
  <c r="P885" i="42"/>
  <c r="P1205" i="42"/>
  <c r="P1206" i="42"/>
  <c r="P1207" i="42"/>
  <c r="P1265" i="42"/>
  <c r="P1263" i="42"/>
  <c r="P1264" i="42"/>
  <c r="P1266" i="42"/>
  <c r="P1267" i="42"/>
  <c r="P1268" i="42"/>
  <c r="P1269" i="42"/>
  <c r="P1157" i="42"/>
  <c r="P1158" i="42"/>
  <c r="O653" i="38"/>
  <c r="O654" i="38"/>
  <c r="O655" i="38"/>
  <c r="O656" i="38"/>
  <c r="O657" i="38"/>
  <c r="O658" i="38"/>
  <c r="O659" i="38"/>
  <c r="O660" i="38"/>
  <c r="N660" i="38"/>
  <c r="O661" i="38"/>
  <c r="N661" i="38"/>
  <c r="O662" i="38"/>
  <c r="N662" i="38"/>
  <c r="O663" i="38"/>
  <c r="N663" i="38"/>
  <c r="O664" i="38"/>
  <c r="N664" i="38"/>
  <c r="O665" i="38"/>
  <c r="N665" i="38"/>
  <c r="O666" i="38"/>
  <c r="O667" i="38"/>
  <c r="N667" i="38"/>
  <c r="O668" i="38"/>
  <c r="N668" i="38"/>
  <c r="O669" i="38"/>
  <c r="N669" i="38"/>
  <c r="O670" i="38"/>
  <c r="N670" i="38"/>
  <c r="O671" i="38"/>
  <c r="N671" i="38"/>
  <c r="O672" i="38"/>
  <c r="N672" i="38"/>
  <c r="O673" i="38"/>
  <c r="O674" i="38"/>
  <c r="O675" i="38"/>
  <c r="O676" i="38"/>
  <c r="O628" i="38"/>
  <c r="O629" i="38"/>
  <c r="O630" i="38"/>
  <c r="O631" i="38"/>
  <c r="O632" i="38"/>
  <c r="O633" i="38"/>
  <c r="O634" i="38"/>
  <c r="O635" i="38"/>
  <c r="O636" i="38"/>
  <c r="O637" i="38"/>
  <c r="O638" i="38"/>
  <c r="O639" i="38"/>
  <c r="O640" i="38"/>
  <c r="N640" i="38"/>
  <c r="O641" i="38"/>
  <c r="N641" i="38"/>
  <c r="O642" i="38"/>
  <c r="O643" i="38"/>
  <c r="N643" i="38"/>
  <c r="O644" i="38"/>
  <c r="O645" i="38"/>
  <c r="O646" i="38"/>
  <c r="O647" i="38"/>
  <c r="O648" i="38"/>
  <c r="O649" i="38"/>
  <c r="O650" i="38"/>
  <c r="O651" i="38"/>
  <c r="O652" i="38"/>
  <c r="N628" i="38"/>
  <c r="N629" i="38"/>
  <c r="N630" i="38"/>
  <c r="N631" i="38"/>
  <c r="N632" i="38"/>
  <c r="N633" i="38"/>
  <c r="N634" i="38"/>
  <c r="N635" i="38"/>
  <c r="N636" i="38"/>
  <c r="N637" i="38"/>
  <c r="N638" i="38"/>
  <c r="N639" i="38"/>
  <c r="N642" i="38"/>
  <c r="N644" i="38"/>
  <c r="N645" i="38"/>
  <c r="N646" i="38"/>
  <c r="N647" i="38"/>
  <c r="N648" i="38"/>
  <c r="N649" i="38"/>
  <c r="N650" i="38"/>
  <c r="N651" i="38"/>
  <c r="N652" i="38"/>
  <c r="N653" i="38"/>
  <c r="N654" i="38"/>
  <c r="N655" i="38"/>
  <c r="N656" i="38"/>
  <c r="N657" i="38"/>
  <c r="N658" i="38"/>
  <c r="N659" i="38"/>
  <c r="N666" i="38"/>
  <c r="N673" i="38"/>
  <c r="N674" i="38"/>
  <c r="N675" i="38"/>
  <c r="N676" i="38"/>
  <c r="N627" i="38"/>
  <c r="L628" i="38"/>
  <c r="L629" i="38"/>
  <c r="L630" i="38"/>
  <c r="L631" i="38"/>
  <c r="L632" i="38"/>
  <c r="L633" i="38"/>
  <c r="L634" i="38"/>
  <c r="L635" i="38"/>
  <c r="L636" i="38"/>
  <c r="L637" i="38"/>
  <c r="L638" i="38"/>
  <c r="L639" i="38"/>
  <c r="L640" i="38"/>
  <c r="L641" i="38"/>
  <c r="L642" i="38"/>
  <c r="L643" i="38"/>
  <c r="L644" i="38"/>
  <c r="L645" i="38"/>
  <c r="L646" i="38"/>
  <c r="L647" i="38"/>
  <c r="L648" i="38"/>
  <c r="L649" i="38"/>
  <c r="L650" i="38"/>
  <c r="L651" i="38"/>
  <c r="L652" i="38"/>
  <c r="L653" i="38"/>
  <c r="L654" i="38"/>
  <c r="L655" i="38"/>
  <c r="L656" i="38"/>
  <c r="L657" i="38"/>
  <c r="L658" i="38"/>
  <c r="L659" i="38"/>
  <c r="L660" i="38"/>
  <c r="L661" i="38"/>
  <c r="L662" i="38"/>
  <c r="L663" i="38"/>
  <c r="L664" i="38"/>
  <c r="L665" i="38"/>
  <c r="L666" i="38"/>
  <c r="L667" i="38"/>
  <c r="L668" i="38"/>
  <c r="L669" i="38"/>
  <c r="L670" i="38"/>
  <c r="L671" i="38"/>
  <c r="L672" i="38"/>
  <c r="L673" i="38"/>
  <c r="L674" i="38"/>
  <c r="L675" i="38"/>
  <c r="L676" i="38"/>
  <c r="L627" i="38"/>
  <c r="O627" i="38"/>
  <c r="P1261" i="42"/>
  <c r="P1262" i="42"/>
  <c r="P1256" i="42"/>
  <c r="P1257" i="42"/>
  <c r="P1258" i="42"/>
  <c r="P1259" i="42"/>
  <c r="P1255" i="42"/>
  <c r="P1260" i="42"/>
  <c r="P1219" i="42"/>
  <c r="P1220" i="42"/>
  <c r="P1221" i="42"/>
  <c r="P1222" i="42"/>
  <c r="P1223" i="42"/>
  <c r="P1224" i="42"/>
  <c r="P1225" i="42"/>
  <c r="P1232" i="42"/>
  <c r="P1233" i="42"/>
  <c r="P1234" i="42"/>
  <c r="P1235" i="42"/>
  <c r="P1236" i="42"/>
  <c r="P1237" i="42"/>
  <c r="P1238" i="42"/>
  <c r="P1239" i="42"/>
  <c r="P1240" i="42"/>
  <c r="P1241" i="42"/>
  <c r="P1242" i="42"/>
  <c r="P1243" i="42"/>
  <c r="P1244" i="42"/>
  <c r="P1245" i="42"/>
  <c r="P1246" i="42"/>
  <c r="P1226" i="42"/>
  <c r="P1227" i="42"/>
  <c r="P1228" i="42"/>
  <c r="P1229" i="42"/>
  <c r="P1230" i="42"/>
  <c r="P1231" i="42"/>
  <c r="P1214" i="42"/>
  <c r="P1215" i="42"/>
  <c r="P1216" i="42"/>
  <c r="P1217" i="42"/>
  <c r="P1208" i="42"/>
  <c r="P1209" i="42"/>
  <c r="P1210" i="42"/>
  <c r="P1200" i="42"/>
  <c r="P1201" i="42"/>
  <c r="P1202" i="42"/>
  <c r="P1203" i="42"/>
  <c r="P1204" i="42"/>
  <c r="P1211" i="42"/>
  <c r="P1212" i="42"/>
  <c r="P1213" i="42"/>
  <c r="P1199" i="42"/>
  <c r="P1198" i="42"/>
  <c r="P1197" i="42"/>
  <c r="P1196" i="42"/>
  <c r="P1183" i="42"/>
  <c r="P1184" i="42"/>
  <c r="P1185" i="42"/>
  <c r="P1186" i="42"/>
  <c r="P1187" i="42"/>
  <c r="P1188" i="42"/>
  <c r="P1189" i="42"/>
  <c r="P1190" i="42"/>
  <c r="P1191" i="42"/>
  <c r="P1192" i="42"/>
  <c r="P1193" i="42"/>
  <c r="P1194" i="42"/>
  <c r="P1195" i="42"/>
  <c r="P1164" i="42"/>
  <c r="P1165" i="42"/>
  <c r="P1166" i="42"/>
  <c r="P1167" i="42"/>
  <c r="P1168" i="42"/>
  <c r="P1169" i="42"/>
  <c r="P1170" i="42"/>
  <c r="P1171" i="42"/>
  <c r="P1172" i="42"/>
  <c r="P1173" i="42"/>
  <c r="P1174" i="42"/>
  <c r="P1175" i="42"/>
  <c r="P1176" i="42"/>
  <c r="P1177" i="42"/>
  <c r="P1178" i="42"/>
  <c r="P1179" i="42"/>
  <c r="P1180" i="42"/>
  <c r="P1181" i="42"/>
  <c r="P1182" i="42"/>
  <c r="P1161" i="42"/>
  <c r="P1162" i="42"/>
  <c r="P1163" i="42"/>
  <c r="P1159" i="42"/>
  <c r="P1160" i="42"/>
  <c r="P1247" i="42"/>
  <c r="P1248" i="42"/>
  <c r="P1249" i="42"/>
  <c r="P1250" i="42"/>
  <c r="P1251" i="42"/>
  <c r="P1252" i="42"/>
  <c r="P1253" i="42"/>
  <c r="P1254" i="42"/>
  <c r="P1218" i="42"/>
  <c r="N467" i="38"/>
  <c r="N466" i="38"/>
  <c r="O8" i="42"/>
  <c r="P8" i="42"/>
  <c r="O9" i="42"/>
  <c r="P9" i="42"/>
  <c r="O10" i="42"/>
  <c r="P10" i="42"/>
  <c r="O11" i="42"/>
  <c r="P11" i="42"/>
  <c r="O13" i="42"/>
  <c r="P13" i="42"/>
  <c r="O12" i="42"/>
  <c r="P12" i="42"/>
  <c r="O14" i="42"/>
  <c r="P14" i="42"/>
  <c r="O15" i="42"/>
  <c r="P15" i="42"/>
  <c r="O18" i="42"/>
  <c r="P18" i="42"/>
  <c r="O16" i="42"/>
  <c r="P16" i="42"/>
  <c r="O17" i="42"/>
  <c r="P17" i="42"/>
  <c r="O19" i="42"/>
  <c r="P19" i="42"/>
  <c r="O67" i="42"/>
  <c r="P67" i="42"/>
  <c r="O115" i="42"/>
  <c r="P115" i="42"/>
  <c r="O116" i="42"/>
  <c r="P116" i="42"/>
  <c r="O117" i="42"/>
  <c r="P117" i="42"/>
  <c r="O118" i="42"/>
  <c r="P118" i="42"/>
  <c r="O119" i="42"/>
  <c r="P119" i="42"/>
  <c r="O112" i="42"/>
  <c r="P112" i="42"/>
  <c r="O113" i="42"/>
  <c r="P113" i="42"/>
  <c r="O114" i="42"/>
  <c r="P114" i="42"/>
  <c r="O109" i="42"/>
  <c r="P109" i="42"/>
  <c r="O110" i="42"/>
  <c r="P110" i="42"/>
  <c r="O111" i="42"/>
  <c r="P111" i="42"/>
  <c r="O103" i="42"/>
  <c r="P103" i="42"/>
  <c r="O104" i="42"/>
  <c r="P104" i="42"/>
  <c r="O105" i="42"/>
  <c r="P105" i="42"/>
  <c r="O106" i="42"/>
  <c r="P106" i="42"/>
  <c r="O107" i="42"/>
  <c r="P107" i="42"/>
  <c r="O108" i="42"/>
  <c r="P108" i="42"/>
  <c r="O102" i="42"/>
  <c r="P102" i="42"/>
  <c r="O100" i="42"/>
  <c r="P100" i="42"/>
  <c r="O101" i="42"/>
  <c r="P101" i="42"/>
  <c r="O95" i="42"/>
  <c r="P95" i="42"/>
  <c r="O96" i="42"/>
  <c r="P96" i="42"/>
  <c r="O97" i="42"/>
  <c r="P97" i="42"/>
  <c r="O98" i="42"/>
  <c r="P98" i="42"/>
  <c r="O99" i="42"/>
  <c r="P99" i="42"/>
  <c r="O93" i="42"/>
  <c r="P93" i="42"/>
  <c r="O94" i="42"/>
  <c r="P94" i="42"/>
  <c r="O89" i="42"/>
  <c r="P89" i="42"/>
  <c r="O90" i="42"/>
  <c r="P90" i="42"/>
  <c r="O91" i="42"/>
  <c r="P91" i="42"/>
  <c r="O92" i="42"/>
  <c r="P92" i="42"/>
  <c r="O84" i="42"/>
  <c r="P84" i="42"/>
  <c r="O85" i="42"/>
  <c r="P85" i="42"/>
  <c r="O86" i="42"/>
  <c r="P86" i="42"/>
  <c r="O87" i="42"/>
  <c r="P87" i="42"/>
  <c r="O88" i="42"/>
  <c r="P88" i="42"/>
  <c r="O83" i="42"/>
  <c r="P83" i="42"/>
  <c r="O82" i="42"/>
  <c r="P82" i="42"/>
  <c r="O81" i="42"/>
  <c r="P81" i="42"/>
  <c r="O80" i="42"/>
  <c r="P80" i="42"/>
  <c r="O76" i="42"/>
  <c r="P76" i="42"/>
  <c r="O77" i="42"/>
  <c r="P77" i="42"/>
  <c r="O78" i="42"/>
  <c r="P78" i="42"/>
  <c r="O79" i="42"/>
  <c r="P79" i="42"/>
  <c r="O68" i="42"/>
  <c r="P68" i="42"/>
  <c r="O69" i="42"/>
  <c r="P69" i="42"/>
  <c r="O70" i="42"/>
  <c r="P70" i="42"/>
  <c r="O71" i="42"/>
  <c r="P71" i="42"/>
  <c r="O72" i="42"/>
  <c r="P72" i="42"/>
  <c r="O73" i="42"/>
  <c r="P73" i="42"/>
  <c r="O74" i="42"/>
  <c r="P74" i="42"/>
  <c r="O75" i="42"/>
  <c r="P75" i="42"/>
  <c r="O22" i="42"/>
  <c r="P22" i="42"/>
  <c r="O23" i="42"/>
  <c r="P23" i="42"/>
  <c r="O24" i="42"/>
  <c r="P24" i="42"/>
  <c r="O25" i="42"/>
  <c r="P25" i="42"/>
  <c r="O26" i="42"/>
  <c r="P26" i="42"/>
  <c r="O27" i="42"/>
  <c r="P27" i="42"/>
  <c r="O28" i="42"/>
  <c r="P28" i="42"/>
  <c r="O29" i="42"/>
  <c r="P29" i="42"/>
  <c r="O30" i="42"/>
  <c r="P30" i="42"/>
  <c r="O31" i="42"/>
  <c r="P31" i="42"/>
  <c r="O32" i="42"/>
  <c r="P32" i="42"/>
  <c r="O33" i="42"/>
  <c r="P33" i="42"/>
  <c r="O34" i="42"/>
  <c r="P34" i="42"/>
  <c r="O35" i="42"/>
  <c r="P35" i="42"/>
  <c r="O36" i="42"/>
  <c r="P36" i="42"/>
  <c r="O37" i="42"/>
  <c r="P37" i="42"/>
  <c r="O38" i="42"/>
  <c r="P38" i="42"/>
  <c r="O39" i="42"/>
  <c r="P39" i="42"/>
  <c r="O40" i="42"/>
  <c r="P40" i="42"/>
  <c r="O41" i="42"/>
  <c r="P41" i="42"/>
  <c r="O42" i="42"/>
  <c r="P42" i="42"/>
  <c r="O43" i="42"/>
  <c r="P43" i="42"/>
  <c r="O44" i="42"/>
  <c r="P44" i="42"/>
  <c r="O45" i="42"/>
  <c r="P45" i="42"/>
  <c r="O46" i="42"/>
  <c r="P46" i="42"/>
  <c r="O47" i="42"/>
  <c r="P47" i="42"/>
  <c r="O48" i="42"/>
  <c r="P48" i="42"/>
  <c r="O49" i="42"/>
  <c r="P49" i="42"/>
  <c r="O50" i="42"/>
  <c r="P50" i="42"/>
  <c r="O51" i="42"/>
  <c r="P51" i="42"/>
  <c r="O52" i="42"/>
  <c r="P52" i="42"/>
  <c r="O53" i="42"/>
  <c r="P53" i="42"/>
  <c r="O54" i="42"/>
  <c r="P54" i="42"/>
  <c r="O55" i="42"/>
  <c r="P55" i="42"/>
  <c r="O56" i="42"/>
  <c r="P56" i="42"/>
  <c r="O57" i="42"/>
  <c r="P57" i="42"/>
  <c r="O58" i="42"/>
  <c r="P58" i="42"/>
  <c r="O59" i="42"/>
  <c r="P59" i="42"/>
  <c r="O60" i="42"/>
  <c r="P60" i="42"/>
  <c r="O61" i="42"/>
  <c r="P61" i="42"/>
  <c r="O62" i="42"/>
  <c r="P62" i="42"/>
  <c r="O63" i="42"/>
  <c r="P63" i="42"/>
  <c r="O64" i="42"/>
  <c r="P64" i="42"/>
  <c r="O65" i="42"/>
  <c r="P65" i="42"/>
  <c r="O66" i="42"/>
  <c r="P66" i="42"/>
  <c r="O20" i="42"/>
  <c r="P20" i="42"/>
  <c r="O21" i="42"/>
  <c r="P21" i="42"/>
  <c r="O120" i="42"/>
  <c r="P120" i="42"/>
  <c r="O121" i="42"/>
  <c r="P121" i="42"/>
  <c r="O124" i="42"/>
  <c r="P124" i="42"/>
  <c r="O122" i="42"/>
  <c r="P122" i="42"/>
  <c r="O123" i="42"/>
  <c r="P123" i="42"/>
  <c r="O125" i="42"/>
  <c r="P125" i="42"/>
  <c r="O126" i="42"/>
  <c r="P126" i="42"/>
  <c r="O127" i="42"/>
  <c r="P127" i="42"/>
  <c r="O128" i="42"/>
  <c r="P128" i="42"/>
  <c r="O130" i="42"/>
  <c r="P130" i="42"/>
  <c r="O131" i="42"/>
  <c r="P131" i="42"/>
  <c r="O132" i="42"/>
  <c r="P132" i="42"/>
  <c r="O129" i="42"/>
  <c r="P129" i="42"/>
  <c r="O166" i="42"/>
  <c r="P166" i="42"/>
  <c r="O167" i="42"/>
  <c r="P167" i="42"/>
  <c r="O168" i="42"/>
  <c r="P168" i="42"/>
  <c r="O169" i="42"/>
  <c r="P169" i="42"/>
  <c r="O170" i="42"/>
  <c r="P170" i="42"/>
  <c r="O171" i="42"/>
  <c r="P171" i="42"/>
  <c r="O172" i="42"/>
  <c r="P172" i="42"/>
  <c r="O173" i="42"/>
  <c r="P173" i="42"/>
  <c r="O160" i="42"/>
  <c r="P160" i="42"/>
  <c r="O161" i="42"/>
  <c r="P161" i="42"/>
  <c r="O162" i="42"/>
  <c r="P162" i="42"/>
  <c r="O163" i="42"/>
  <c r="P163" i="42"/>
  <c r="O164" i="42"/>
  <c r="P164" i="42"/>
  <c r="O165" i="42"/>
  <c r="P165" i="42"/>
  <c r="O156" i="42"/>
  <c r="P156" i="42"/>
  <c r="O157" i="42"/>
  <c r="P157" i="42"/>
  <c r="O158" i="42"/>
  <c r="P158" i="42"/>
  <c r="O159" i="42"/>
  <c r="P159" i="42"/>
  <c r="O153" i="42"/>
  <c r="P153" i="42"/>
  <c r="O154" i="42"/>
  <c r="P154" i="42"/>
  <c r="O155" i="42"/>
  <c r="P155" i="42"/>
  <c r="O147" i="42"/>
  <c r="P147" i="42"/>
  <c r="O148" i="42"/>
  <c r="P148" i="42"/>
  <c r="O149" i="42"/>
  <c r="P149" i="42"/>
  <c r="O150" i="42"/>
  <c r="P150" i="42"/>
  <c r="O151" i="42"/>
  <c r="P151" i="42"/>
  <c r="O152" i="42"/>
  <c r="P152" i="42"/>
  <c r="O146" i="42"/>
  <c r="P146" i="42"/>
  <c r="O145" i="42"/>
  <c r="P145" i="42"/>
  <c r="O144" i="42"/>
  <c r="P144" i="42"/>
  <c r="O143" i="42"/>
  <c r="P143" i="42"/>
  <c r="O138" i="42"/>
  <c r="P138" i="42"/>
  <c r="O139" i="42"/>
  <c r="P139" i="42"/>
  <c r="O140" i="42"/>
  <c r="P140" i="42"/>
  <c r="O141" i="42"/>
  <c r="P141" i="42"/>
  <c r="O142" i="42"/>
  <c r="P142" i="42"/>
  <c r="O133" i="42"/>
  <c r="P133" i="42"/>
  <c r="O134" i="42"/>
  <c r="P134" i="42"/>
  <c r="O135" i="42"/>
  <c r="P135" i="42"/>
  <c r="O136" i="42"/>
  <c r="P136" i="42"/>
  <c r="O137" i="42"/>
  <c r="P137" i="42"/>
  <c r="O176" i="42"/>
  <c r="P176" i="42"/>
  <c r="O177" i="42"/>
  <c r="P177" i="42"/>
  <c r="O178" i="42"/>
  <c r="P178" i="42"/>
  <c r="O179" i="42"/>
  <c r="P179" i="42"/>
  <c r="O175" i="42"/>
  <c r="P175" i="42"/>
  <c r="O174" i="42"/>
  <c r="P174" i="42"/>
  <c r="O180" i="42"/>
  <c r="P180" i="42"/>
  <c r="O181" i="42"/>
  <c r="P181" i="42"/>
  <c r="O182" i="42"/>
  <c r="P182" i="42"/>
  <c r="O184" i="42"/>
  <c r="P184" i="42"/>
  <c r="O183" i="42"/>
  <c r="P183" i="42"/>
  <c r="O211" i="42"/>
  <c r="P211" i="42"/>
  <c r="O212" i="42"/>
  <c r="P212" i="42"/>
  <c r="O209" i="42"/>
  <c r="P209" i="42"/>
  <c r="O210" i="42"/>
  <c r="P210" i="42"/>
  <c r="O201" i="42"/>
  <c r="P201" i="42"/>
  <c r="O197" i="42"/>
  <c r="P197" i="42"/>
  <c r="O198" i="42"/>
  <c r="P198" i="42"/>
  <c r="O199" i="42"/>
  <c r="P199" i="42"/>
  <c r="O194" i="42"/>
  <c r="P194" i="42"/>
  <c r="O195" i="42"/>
  <c r="P195" i="42"/>
  <c r="O196" i="42"/>
  <c r="P196" i="42"/>
  <c r="O192" i="42"/>
  <c r="P192" i="42"/>
  <c r="O189" i="42"/>
  <c r="P189" i="42"/>
  <c r="O190" i="42"/>
  <c r="P190" i="42"/>
  <c r="O187" i="42"/>
  <c r="P187" i="42"/>
  <c r="O188" i="42"/>
  <c r="P188" i="42"/>
  <c r="O207" i="42"/>
  <c r="P207" i="42"/>
  <c r="Q207" i="42" s="1"/>
  <c r="O208" i="42"/>
  <c r="P208" i="42"/>
  <c r="Q208" i="42" s="1"/>
  <c r="O206" i="42"/>
  <c r="P206" i="42"/>
  <c r="Q206" i="42" s="1"/>
  <c r="O204" i="42"/>
  <c r="P204" i="42"/>
  <c r="Q204" i="42" s="1"/>
  <c r="O205" i="42"/>
  <c r="P205" i="42"/>
  <c r="Q205" i="42" s="1"/>
  <c r="O202" i="42"/>
  <c r="P202" i="42"/>
  <c r="Q202" i="42" s="1"/>
  <c r="O203" i="42"/>
  <c r="P203" i="42"/>
  <c r="Q203" i="42" s="1"/>
  <c r="O200" i="42"/>
  <c r="P200" i="42"/>
  <c r="Q200" i="42" s="1"/>
  <c r="O193" i="42"/>
  <c r="P193" i="42"/>
  <c r="Q193" i="42" s="1"/>
  <c r="O191" i="42"/>
  <c r="P191" i="42"/>
  <c r="Q191" i="42" s="1"/>
  <c r="O185" i="42"/>
  <c r="P185" i="42"/>
  <c r="Q185" i="42" s="1"/>
  <c r="O186" i="42"/>
  <c r="P186" i="42"/>
  <c r="Q186" i="42" s="1"/>
  <c r="O213" i="42"/>
  <c r="P213" i="42"/>
  <c r="O214" i="42"/>
  <c r="P214" i="42"/>
  <c r="O215" i="42"/>
  <c r="P215" i="42"/>
  <c r="O216" i="42"/>
  <c r="P216" i="42"/>
  <c r="O217" i="42"/>
  <c r="P217" i="42"/>
  <c r="O218" i="42"/>
  <c r="P218" i="42"/>
  <c r="O219" i="42"/>
  <c r="P219" i="42"/>
  <c r="O222" i="42"/>
  <c r="P222" i="42"/>
  <c r="O223" i="42"/>
  <c r="P223" i="42"/>
  <c r="O224" i="42"/>
  <c r="P224" i="42"/>
  <c r="O220" i="42"/>
  <c r="P220" i="42"/>
  <c r="O221" i="42"/>
  <c r="P221" i="42"/>
  <c r="O225" i="42"/>
  <c r="P225" i="42"/>
  <c r="O244" i="42"/>
  <c r="P244" i="42"/>
  <c r="O240" i="42"/>
  <c r="P240" i="42"/>
  <c r="O247" i="42"/>
  <c r="P247" i="42"/>
  <c r="O245" i="42"/>
  <c r="P245" i="42"/>
  <c r="O243" i="42"/>
  <c r="P243" i="42"/>
  <c r="O242" i="42"/>
  <c r="P242" i="42"/>
  <c r="O227" i="42"/>
  <c r="P227" i="42"/>
  <c r="O228" i="42"/>
  <c r="P228" i="42"/>
  <c r="O229" i="42"/>
  <c r="P229" i="42"/>
  <c r="O230" i="42"/>
  <c r="P230" i="42"/>
  <c r="O231" i="42"/>
  <c r="P231" i="42"/>
  <c r="O232" i="42"/>
  <c r="P232" i="42"/>
  <c r="O233" i="42"/>
  <c r="P233" i="42"/>
  <c r="O234" i="42"/>
  <c r="P234" i="42"/>
  <c r="O235" i="42"/>
  <c r="P235" i="42"/>
  <c r="O236" i="42"/>
  <c r="P236" i="42"/>
  <c r="O237" i="42"/>
  <c r="P237" i="42"/>
  <c r="O238" i="42"/>
  <c r="P238" i="42"/>
  <c r="O239" i="42"/>
  <c r="P239" i="42"/>
  <c r="O226" i="42"/>
  <c r="P226" i="42"/>
  <c r="O248" i="42"/>
  <c r="P248" i="42"/>
  <c r="O249" i="42"/>
  <c r="P249" i="42"/>
  <c r="O246" i="42"/>
  <c r="P246" i="42"/>
  <c r="O241" i="42"/>
  <c r="P241" i="42"/>
  <c r="O250" i="42"/>
  <c r="P250" i="42"/>
  <c r="O251" i="42"/>
  <c r="P251" i="42"/>
  <c r="O252" i="42"/>
  <c r="P252" i="42"/>
  <c r="O253" i="42"/>
  <c r="P253" i="42"/>
  <c r="O255" i="42"/>
  <c r="P255" i="42"/>
  <c r="O256" i="42"/>
  <c r="P256" i="42"/>
  <c r="O254" i="42"/>
  <c r="P254" i="42"/>
  <c r="O286" i="42"/>
  <c r="P286" i="42"/>
  <c r="O266" i="42"/>
  <c r="P266" i="42"/>
  <c r="O257" i="42"/>
  <c r="P257" i="42"/>
  <c r="O258" i="42"/>
  <c r="P258" i="42"/>
  <c r="O279" i="42"/>
  <c r="P279" i="42"/>
  <c r="O287" i="42"/>
  <c r="P287" i="42"/>
  <c r="O267" i="42"/>
  <c r="P267" i="42"/>
  <c r="O259" i="42"/>
  <c r="P259" i="42"/>
  <c r="O260" i="42"/>
  <c r="P260" i="42"/>
  <c r="O261" i="42"/>
  <c r="P261" i="42"/>
  <c r="O262" i="42"/>
  <c r="P262" i="42"/>
  <c r="O263" i="42"/>
  <c r="P263" i="42"/>
  <c r="O280" i="42"/>
  <c r="P280" i="42"/>
  <c r="O281" i="42"/>
  <c r="P281" i="42"/>
  <c r="O288" i="42"/>
  <c r="P288" i="42"/>
  <c r="O268" i="42"/>
  <c r="P268" i="42"/>
  <c r="O269" i="42"/>
  <c r="P269" i="42"/>
  <c r="O270" i="42"/>
  <c r="P270" i="42"/>
  <c r="O282" i="42"/>
  <c r="P282" i="42"/>
  <c r="O283" i="42"/>
  <c r="P283" i="42"/>
  <c r="O289" i="42"/>
  <c r="P289" i="42"/>
  <c r="O290" i="42"/>
  <c r="P290" i="42"/>
  <c r="O276" i="42"/>
  <c r="P276" i="42"/>
  <c r="O271" i="42"/>
  <c r="P271" i="42"/>
  <c r="O272" i="42"/>
  <c r="P272" i="42"/>
  <c r="O264" i="42"/>
  <c r="P264" i="42"/>
  <c r="O291" i="42"/>
  <c r="P291" i="42"/>
  <c r="O292" i="42"/>
  <c r="P292" i="42"/>
  <c r="O277" i="42"/>
  <c r="P277" i="42"/>
  <c r="O278" i="42"/>
  <c r="P278" i="42"/>
  <c r="O273" i="42"/>
  <c r="P273" i="42"/>
  <c r="O274" i="42"/>
  <c r="P274" i="42"/>
  <c r="O275" i="42"/>
  <c r="P275" i="42"/>
  <c r="O265" i="42"/>
  <c r="P265" i="42"/>
  <c r="O284" i="42"/>
  <c r="P284" i="42"/>
  <c r="O285" i="42"/>
  <c r="P285" i="42"/>
  <c r="O293" i="42"/>
  <c r="P293" i="42"/>
  <c r="O294" i="42"/>
  <c r="P294" i="42"/>
  <c r="O295" i="42"/>
  <c r="P295" i="42"/>
  <c r="O296" i="42"/>
  <c r="P296" i="42"/>
  <c r="O297" i="42"/>
  <c r="P297" i="42"/>
  <c r="O298" i="42"/>
  <c r="P298" i="42"/>
  <c r="O331" i="42"/>
  <c r="P331" i="42"/>
  <c r="O325" i="42"/>
  <c r="P325" i="42"/>
  <c r="O319" i="42"/>
  <c r="P319" i="42"/>
  <c r="O316" i="42"/>
  <c r="P316" i="42"/>
  <c r="O301" i="42"/>
  <c r="P301" i="42"/>
  <c r="O302" i="42"/>
  <c r="P302" i="42"/>
  <c r="O303" i="42"/>
  <c r="P303" i="42"/>
  <c r="O304" i="42"/>
  <c r="P304" i="42"/>
  <c r="O305" i="42"/>
  <c r="P305" i="42"/>
  <c r="O306" i="42"/>
  <c r="P306" i="42"/>
  <c r="O307" i="42"/>
  <c r="P307" i="42"/>
  <c r="O308" i="42"/>
  <c r="P308" i="42"/>
  <c r="O332" i="42"/>
  <c r="P332" i="42"/>
  <c r="O326" i="42"/>
  <c r="P326" i="42"/>
  <c r="O327" i="42"/>
  <c r="P327" i="42"/>
  <c r="O324" i="42"/>
  <c r="P324" i="42"/>
  <c r="O323" i="42"/>
  <c r="P323" i="42"/>
  <c r="O322" i="42"/>
  <c r="P322" i="42"/>
  <c r="O321" i="42"/>
  <c r="P321" i="42"/>
  <c r="O317" i="42"/>
  <c r="P317" i="42"/>
  <c r="O309" i="42"/>
  <c r="P309" i="42"/>
  <c r="O310" i="42"/>
  <c r="P310" i="42"/>
  <c r="O311" i="42"/>
  <c r="P311" i="42"/>
  <c r="O312" i="42"/>
  <c r="P312" i="42"/>
  <c r="O300" i="42"/>
  <c r="P300" i="42"/>
  <c r="O299" i="42"/>
  <c r="P299" i="42"/>
  <c r="O330" i="42"/>
  <c r="P330" i="42"/>
  <c r="O328" i="42"/>
  <c r="P328" i="42"/>
  <c r="O329" i="42"/>
  <c r="P329" i="42"/>
  <c r="O320" i="42"/>
  <c r="P320" i="42"/>
  <c r="O318" i="42"/>
  <c r="P318" i="42"/>
  <c r="O313" i="42"/>
  <c r="P313" i="42"/>
  <c r="O314" i="42"/>
  <c r="P314" i="42"/>
  <c r="O315" i="42"/>
  <c r="P315" i="42"/>
  <c r="O336" i="42"/>
  <c r="P336" i="42"/>
  <c r="O333" i="42"/>
  <c r="P333" i="42"/>
  <c r="O337" i="42"/>
  <c r="P337" i="42"/>
  <c r="O334" i="42"/>
  <c r="P334" i="42"/>
  <c r="O335" i="42"/>
  <c r="P335" i="42"/>
  <c r="O338" i="42"/>
  <c r="P338" i="42"/>
  <c r="O346" i="42"/>
  <c r="P346" i="42"/>
  <c r="O345" i="42"/>
  <c r="P345" i="42"/>
  <c r="O344" i="42"/>
  <c r="P344" i="42"/>
  <c r="O343" i="42"/>
  <c r="P343" i="42"/>
  <c r="O339" i="42"/>
  <c r="P339" i="42"/>
  <c r="O340" i="42"/>
  <c r="P340" i="42"/>
  <c r="O341" i="42"/>
  <c r="P341" i="42"/>
  <c r="O342" i="42"/>
  <c r="P342" i="42"/>
  <c r="O359" i="42"/>
  <c r="P359" i="42"/>
  <c r="O354" i="42"/>
  <c r="P354" i="42"/>
  <c r="O347" i="42"/>
  <c r="P347" i="42"/>
  <c r="O355" i="42"/>
  <c r="P355" i="42"/>
  <c r="O348" i="42"/>
  <c r="P348" i="42"/>
  <c r="O356" i="42"/>
  <c r="P356" i="42"/>
  <c r="O360" i="42"/>
  <c r="P360" i="42"/>
  <c r="O361" i="42"/>
  <c r="P361" i="42"/>
  <c r="O362" i="42"/>
  <c r="P362" i="42"/>
  <c r="O357" i="42"/>
  <c r="P357" i="42"/>
  <c r="O349" i="42"/>
  <c r="P349" i="42"/>
  <c r="O350" i="42"/>
  <c r="P350" i="42"/>
  <c r="O363" i="42"/>
  <c r="P363" i="42"/>
  <c r="O358" i="42"/>
  <c r="P358" i="42"/>
  <c r="O351" i="42"/>
  <c r="P351" i="42"/>
  <c r="O366" i="42"/>
  <c r="P366" i="42"/>
  <c r="O352" i="42"/>
  <c r="P352" i="42"/>
  <c r="O364" i="42"/>
  <c r="P364" i="42"/>
  <c r="O365" i="42"/>
  <c r="P365" i="42"/>
  <c r="O353" i="42"/>
  <c r="P353" i="42"/>
  <c r="O380" i="42"/>
  <c r="P380" i="42"/>
  <c r="O391" i="42"/>
  <c r="P391" i="42"/>
  <c r="O381" i="42"/>
  <c r="P381" i="42"/>
  <c r="O399" i="42"/>
  <c r="P399" i="42"/>
  <c r="O395" i="42"/>
  <c r="P395" i="42"/>
  <c r="O378" i="42"/>
  <c r="P378" i="42"/>
  <c r="O372" i="42"/>
  <c r="P372" i="42"/>
  <c r="O392" i="42"/>
  <c r="P392" i="42"/>
  <c r="O369" i="42"/>
  <c r="P369" i="42"/>
  <c r="O379" i="42"/>
  <c r="P379" i="42"/>
  <c r="O367" i="42"/>
  <c r="P367" i="42"/>
  <c r="O382" i="42"/>
  <c r="P382" i="42"/>
  <c r="O370" i="42"/>
  <c r="P370" i="42"/>
  <c r="O383" i="42"/>
  <c r="P383" i="42"/>
  <c r="O384" i="42"/>
  <c r="P384" i="42"/>
  <c r="O400" i="42"/>
  <c r="P400" i="42"/>
  <c r="O401" i="42"/>
  <c r="P401" i="42"/>
  <c r="O396" i="42"/>
  <c r="P396" i="42"/>
  <c r="O397" i="42"/>
  <c r="P397" i="42"/>
  <c r="O398" i="42"/>
  <c r="P398" i="42"/>
  <c r="O373" i="42"/>
  <c r="P373" i="42"/>
  <c r="O371" i="42"/>
  <c r="P371" i="42"/>
  <c r="O368" i="42"/>
  <c r="P368" i="42"/>
  <c r="O393" i="42"/>
  <c r="P393" i="42"/>
  <c r="O394" i="42"/>
  <c r="P394" i="42"/>
  <c r="O385" i="42"/>
  <c r="P385" i="42"/>
  <c r="O386" i="42"/>
  <c r="P386" i="42"/>
  <c r="O402" i="42"/>
  <c r="P402" i="42"/>
  <c r="O403" i="42"/>
  <c r="P403" i="42"/>
  <c r="O389" i="42"/>
  <c r="P389" i="42"/>
  <c r="O390" i="42"/>
  <c r="P390" i="42"/>
  <c r="O377" i="42"/>
  <c r="P377" i="42"/>
  <c r="O374" i="42"/>
  <c r="P374" i="42"/>
  <c r="O375" i="42"/>
  <c r="P375" i="42"/>
  <c r="O404" i="42"/>
  <c r="P404" i="42"/>
  <c r="O376" i="42"/>
  <c r="P376" i="42"/>
  <c r="O387" i="42"/>
  <c r="P387" i="42"/>
  <c r="O388" i="42"/>
  <c r="P388" i="42"/>
  <c r="O405" i="42"/>
  <c r="P405" i="42"/>
  <c r="O406" i="42"/>
  <c r="P406" i="42"/>
  <c r="O407" i="42"/>
  <c r="P407" i="42"/>
  <c r="O408" i="42"/>
  <c r="P408" i="42"/>
  <c r="O410" i="42"/>
  <c r="P410" i="42"/>
  <c r="O409" i="42"/>
  <c r="P409" i="42"/>
  <c r="O411" i="42"/>
  <c r="P411" i="42"/>
  <c r="O412" i="42"/>
  <c r="P412" i="42"/>
  <c r="O413" i="42"/>
  <c r="P413" i="42"/>
  <c r="O416" i="42"/>
  <c r="P416" i="42"/>
  <c r="O417" i="42"/>
  <c r="P417" i="42"/>
  <c r="O414" i="42"/>
  <c r="P414" i="42"/>
  <c r="O415" i="42"/>
  <c r="P415" i="42"/>
  <c r="O419" i="42"/>
  <c r="P419" i="42"/>
  <c r="O418" i="42"/>
  <c r="P418" i="42"/>
  <c r="O420" i="42"/>
  <c r="P420" i="42"/>
  <c r="O421" i="42"/>
  <c r="P421" i="42"/>
  <c r="O422" i="42"/>
  <c r="P422" i="42"/>
  <c r="O423" i="42"/>
  <c r="P423" i="42"/>
  <c r="O424" i="42"/>
  <c r="P424" i="42"/>
  <c r="O425" i="42"/>
  <c r="P425" i="42"/>
  <c r="O433" i="42"/>
  <c r="P433" i="42"/>
  <c r="O430" i="42"/>
  <c r="P430" i="42"/>
  <c r="O431" i="42"/>
  <c r="P431" i="42"/>
  <c r="O432" i="42"/>
  <c r="P432" i="42"/>
  <c r="O429" i="42"/>
  <c r="P429" i="42"/>
  <c r="O428" i="42"/>
  <c r="P428" i="42"/>
  <c r="O426" i="42"/>
  <c r="P426" i="42"/>
  <c r="O427" i="42"/>
  <c r="P427" i="42"/>
  <c r="O434" i="42"/>
  <c r="P434" i="42"/>
  <c r="O435" i="42"/>
  <c r="P435" i="42"/>
  <c r="O436" i="42"/>
  <c r="P436" i="42"/>
  <c r="O437" i="42"/>
  <c r="P437" i="42"/>
  <c r="O438" i="42"/>
  <c r="P438" i="42"/>
  <c r="O439" i="42"/>
  <c r="P439" i="42"/>
  <c r="O440" i="42"/>
  <c r="P440" i="42"/>
  <c r="O443" i="42"/>
  <c r="P443" i="42"/>
  <c r="O444" i="42"/>
  <c r="P444" i="42"/>
  <c r="O441" i="42"/>
  <c r="P441" i="42"/>
  <c r="O442" i="42"/>
  <c r="P442" i="42"/>
  <c r="O445" i="42"/>
  <c r="P445" i="42"/>
  <c r="O446" i="42"/>
  <c r="P446" i="42"/>
  <c r="O447" i="42"/>
  <c r="P447" i="42"/>
  <c r="O448" i="42"/>
  <c r="P448" i="42"/>
  <c r="O449" i="42"/>
  <c r="P449" i="42"/>
  <c r="O450" i="42"/>
  <c r="P450" i="42"/>
  <c r="O451" i="42"/>
  <c r="P451" i="42"/>
  <c r="O452" i="42"/>
  <c r="P452" i="42"/>
  <c r="O453" i="42"/>
  <c r="P453" i="42"/>
  <c r="O454" i="42"/>
  <c r="P454" i="42"/>
  <c r="O455" i="42"/>
  <c r="P455" i="42"/>
  <c r="O456" i="42"/>
  <c r="P456" i="42"/>
  <c r="O457" i="42"/>
  <c r="P457" i="42"/>
  <c r="O460" i="42"/>
  <c r="P460" i="42"/>
  <c r="O461" i="42"/>
  <c r="P461" i="42"/>
  <c r="O462" i="42"/>
  <c r="P462" i="42"/>
  <c r="O463" i="42"/>
  <c r="P463" i="42"/>
  <c r="O464" i="42"/>
  <c r="P464" i="42"/>
  <c r="O458" i="42"/>
  <c r="P458" i="42"/>
  <c r="O459" i="42"/>
  <c r="P459" i="42"/>
  <c r="O465" i="42"/>
  <c r="P465" i="42"/>
  <c r="O466" i="42"/>
  <c r="P466" i="42"/>
  <c r="O467" i="42"/>
  <c r="P467" i="42"/>
  <c r="O468" i="42"/>
  <c r="P468" i="42"/>
  <c r="O469" i="42"/>
  <c r="P469" i="42"/>
  <c r="O470" i="42"/>
  <c r="P470" i="42"/>
  <c r="O471" i="42"/>
  <c r="P471" i="42"/>
  <c r="O472" i="42"/>
  <c r="P472" i="42"/>
  <c r="O473" i="42"/>
  <c r="P473" i="42"/>
  <c r="O474" i="42"/>
  <c r="P474" i="42"/>
  <c r="O475" i="42"/>
  <c r="P475" i="42"/>
  <c r="O476" i="42"/>
  <c r="P476" i="42"/>
  <c r="O477" i="42"/>
  <c r="P477" i="42"/>
  <c r="O478" i="42"/>
  <c r="P478" i="42"/>
  <c r="O485" i="42"/>
  <c r="P485" i="42"/>
  <c r="O481" i="42"/>
  <c r="P481" i="42"/>
  <c r="O482" i="42"/>
  <c r="P482" i="42"/>
  <c r="O479" i="42"/>
  <c r="P479" i="42"/>
  <c r="O480" i="42"/>
  <c r="P480" i="42"/>
  <c r="O483" i="42"/>
  <c r="P483" i="42"/>
  <c r="O484" i="42"/>
  <c r="P484" i="42"/>
  <c r="O486" i="42"/>
  <c r="P486" i="42"/>
  <c r="O488" i="42"/>
  <c r="P488" i="42"/>
  <c r="O492" i="42"/>
  <c r="P492" i="42"/>
  <c r="O493" i="42"/>
  <c r="P493" i="42"/>
  <c r="O494" i="42"/>
  <c r="P494" i="42"/>
  <c r="O495" i="42"/>
  <c r="P495" i="42"/>
  <c r="O496" i="42"/>
  <c r="P496" i="42"/>
  <c r="O497" i="42"/>
  <c r="P497" i="42"/>
  <c r="O498" i="42"/>
  <c r="P498" i="42"/>
  <c r="O499" i="42"/>
  <c r="P499" i="42"/>
  <c r="O500" i="42"/>
  <c r="P500" i="42"/>
  <c r="O501" i="42"/>
  <c r="P501" i="42"/>
  <c r="O502" i="42"/>
  <c r="P502" i="42"/>
  <c r="O503" i="42"/>
  <c r="P503" i="42"/>
  <c r="O504" i="42"/>
  <c r="P504" i="42"/>
  <c r="O505" i="42"/>
  <c r="P505" i="42"/>
  <c r="O506" i="42"/>
  <c r="P506" i="42"/>
  <c r="O507" i="42"/>
  <c r="P507" i="42"/>
  <c r="O508" i="42"/>
  <c r="P508" i="42"/>
  <c r="O509" i="42"/>
  <c r="P509" i="42"/>
  <c r="O510" i="42"/>
  <c r="P510" i="42"/>
  <c r="O511" i="42"/>
  <c r="P511" i="42"/>
  <c r="O512" i="42"/>
  <c r="P512" i="42"/>
  <c r="O489" i="42"/>
  <c r="P489" i="42"/>
  <c r="O513" i="42"/>
  <c r="P513" i="42"/>
  <c r="O514" i="42"/>
  <c r="P514" i="42"/>
  <c r="O490" i="42"/>
  <c r="P490" i="42"/>
  <c r="O515" i="42"/>
  <c r="P515" i="42"/>
  <c r="O516" i="42"/>
  <c r="P516" i="42"/>
  <c r="O517" i="42"/>
  <c r="P517" i="42"/>
  <c r="O518" i="42"/>
  <c r="P518" i="42"/>
  <c r="O519" i="42"/>
  <c r="P519" i="42"/>
  <c r="O520" i="42"/>
  <c r="P520" i="42"/>
  <c r="O521" i="42"/>
  <c r="P521" i="42"/>
  <c r="O522" i="42"/>
  <c r="P522" i="42"/>
  <c r="O487" i="42"/>
  <c r="P487" i="42"/>
  <c r="O523" i="42"/>
  <c r="P523" i="42"/>
  <c r="O524" i="42"/>
  <c r="P524" i="42"/>
  <c r="O525" i="42"/>
  <c r="P525" i="42"/>
  <c r="O491" i="42"/>
  <c r="P491" i="42"/>
  <c r="O526" i="42"/>
  <c r="P526" i="42"/>
  <c r="O527" i="42"/>
  <c r="P527" i="42"/>
  <c r="O533" i="42"/>
  <c r="P533" i="42"/>
  <c r="O534" i="42"/>
  <c r="P534" i="42"/>
  <c r="O535" i="42"/>
  <c r="P535" i="42"/>
  <c r="O536" i="42"/>
  <c r="P536" i="42"/>
  <c r="O528" i="42"/>
  <c r="P528" i="42"/>
  <c r="O537" i="42"/>
  <c r="P537" i="42"/>
  <c r="O529" i="42"/>
  <c r="P529" i="42"/>
  <c r="O538" i="42"/>
  <c r="P538" i="42"/>
  <c r="O539" i="42"/>
  <c r="P539" i="42"/>
  <c r="O540" i="42"/>
  <c r="P540" i="42"/>
  <c r="O541" i="42"/>
  <c r="P541" i="42"/>
  <c r="O530" i="42"/>
  <c r="P530" i="42"/>
  <c r="O531" i="42"/>
  <c r="P531" i="42"/>
  <c r="O532" i="42"/>
  <c r="P532" i="42"/>
  <c r="O545" i="42"/>
  <c r="P545" i="42"/>
  <c r="O542" i="42"/>
  <c r="P542" i="42"/>
  <c r="O543" i="42"/>
  <c r="P543" i="42"/>
  <c r="O544" i="42"/>
  <c r="P544" i="42"/>
  <c r="O546" i="42"/>
  <c r="P546" i="42"/>
  <c r="O547" i="42"/>
  <c r="P547" i="42"/>
  <c r="O550" i="42"/>
  <c r="P550" i="42"/>
  <c r="O549" i="42"/>
  <c r="P549" i="42"/>
  <c r="O548" i="42"/>
  <c r="P548" i="42"/>
  <c r="O551" i="42"/>
  <c r="P551" i="42"/>
  <c r="O552" i="42"/>
  <c r="P552" i="42"/>
  <c r="O553" i="42"/>
  <c r="P553" i="42"/>
  <c r="O554" i="42"/>
  <c r="P554" i="42"/>
  <c r="O555" i="42"/>
  <c r="P555" i="42"/>
  <c r="O556" i="42"/>
  <c r="P556" i="42"/>
  <c r="O557" i="42"/>
  <c r="P557" i="42"/>
  <c r="O558" i="42"/>
  <c r="P558" i="42"/>
  <c r="O559" i="42"/>
  <c r="P559" i="42"/>
  <c r="O560" i="42"/>
  <c r="P560" i="42"/>
  <c r="O561" i="42"/>
  <c r="P561" i="42"/>
  <c r="O562" i="42"/>
  <c r="P562" i="42"/>
  <c r="O563" i="42"/>
  <c r="P563" i="42"/>
  <c r="O564" i="42"/>
  <c r="P564" i="42"/>
  <c r="O565" i="42"/>
  <c r="P565" i="42"/>
  <c r="O566" i="42"/>
  <c r="P566" i="42"/>
  <c r="O567" i="42"/>
  <c r="P567" i="42"/>
  <c r="O568" i="42"/>
  <c r="P568" i="42"/>
  <c r="O569" i="42"/>
  <c r="P569" i="42"/>
  <c r="O570" i="42"/>
  <c r="P570" i="42"/>
  <c r="O571" i="42"/>
  <c r="P571" i="42"/>
  <c r="O572" i="42"/>
  <c r="P572" i="42"/>
  <c r="O573" i="42"/>
  <c r="P573" i="42"/>
  <c r="O575" i="42"/>
  <c r="P575" i="42"/>
  <c r="O576" i="42"/>
  <c r="P576" i="42"/>
  <c r="O574" i="42"/>
  <c r="P574" i="42"/>
  <c r="O579" i="42"/>
  <c r="P579" i="42"/>
  <c r="O580" i="42"/>
  <c r="P580" i="42"/>
  <c r="O578" i="42"/>
  <c r="P578" i="42"/>
  <c r="O581" i="42"/>
  <c r="P581" i="42"/>
  <c r="O577" i="42"/>
  <c r="P577" i="42"/>
  <c r="O582" i="42"/>
  <c r="P582" i="42"/>
  <c r="O611" i="42"/>
  <c r="P611" i="42"/>
  <c r="O606" i="42"/>
  <c r="P606" i="42"/>
  <c r="O601" i="42"/>
  <c r="P601" i="42"/>
  <c r="O588" i="42"/>
  <c r="P588" i="42"/>
  <c r="O589" i="42"/>
  <c r="P589" i="42"/>
  <c r="O590" i="42"/>
  <c r="P590" i="42"/>
  <c r="O591" i="42"/>
  <c r="P591" i="42"/>
  <c r="O586" i="42"/>
  <c r="P586" i="42"/>
  <c r="O583" i="42"/>
  <c r="P583" i="42"/>
  <c r="O584" i="42"/>
  <c r="P584" i="42"/>
  <c r="O608" i="42"/>
  <c r="P608" i="42"/>
  <c r="O612" i="42"/>
  <c r="P612" i="42"/>
  <c r="O613" i="42"/>
  <c r="P613" i="42"/>
  <c r="O614" i="42"/>
  <c r="P614" i="42"/>
  <c r="O615" i="42"/>
  <c r="P615" i="42"/>
  <c r="O604" i="42"/>
  <c r="P604" i="42"/>
  <c r="O602" i="42"/>
  <c r="P602" i="42"/>
  <c r="O620" i="42"/>
  <c r="P620" i="42"/>
  <c r="O616" i="42"/>
  <c r="P616" i="42"/>
  <c r="O617" i="42"/>
  <c r="P617" i="42"/>
  <c r="O618" i="42"/>
  <c r="P618" i="42"/>
  <c r="O619" i="42"/>
  <c r="P619" i="42"/>
  <c r="O610" i="42"/>
  <c r="P610" i="42"/>
  <c r="O609" i="42"/>
  <c r="P609" i="42"/>
  <c r="O607" i="42"/>
  <c r="P607" i="42"/>
  <c r="O605" i="42"/>
  <c r="P605" i="42"/>
  <c r="O603" i="42"/>
  <c r="P603" i="42"/>
  <c r="O600" i="42"/>
  <c r="P600" i="42"/>
  <c r="O592" i="42"/>
  <c r="P592" i="42"/>
  <c r="O593" i="42"/>
  <c r="P593" i="42"/>
  <c r="O594" i="42"/>
  <c r="P594" i="42"/>
  <c r="O595" i="42"/>
  <c r="P595" i="42"/>
  <c r="O596" i="42"/>
  <c r="P596" i="42"/>
  <c r="O597" i="42"/>
  <c r="P597" i="42"/>
  <c r="O598" i="42"/>
  <c r="P598" i="42"/>
  <c r="O599" i="42"/>
  <c r="P599" i="42"/>
  <c r="O587" i="42"/>
  <c r="P587" i="42"/>
  <c r="O585" i="42"/>
  <c r="P585" i="42"/>
  <c r="O621" i="42"/>
  <c r="P621" i="42"/>
  <c r="O622" i="42"/>
  <c r="P622" i="42"/>
  <c r="O623" i="42"/>
  <c r="P623" i="42"/>
  <c r="O624" i="42"/>
  <c r="P624" i="42"/>
  <c r="O636" i="42"/>
  <c r="P636" i="42"/>
  <c r="O625" i="42"/>
  <c r="P625" i="42"/>
  <c r="O630" i="42"/>
  <c r="P630" i="42"/>
  <c r="O631" i="42"/>
  <c r="P631" i="42"/>
  <c r="O632" i="42"/>
  <c r="P632" i="42"/>
  <c r="O626" i="42"/>
  <c r="P626" i="42"/>
  <c r="O627" i="42"/>
  <c r="P627" i="42"/>
  <c r="O628" i="42"/>
  <c r="P628" i="42"/>
  <c r="O633" i="42"/>
  <c r="P633" i="42"/>
  <c r="O634" i="42"/>
  <c r="P634" i="42"/>
  <c r="O635" i="42"/>
  <c r="P635" i="42"/>
  <c r="O629" i="42"/>
  <c r="P629" i="42"/>
  <c r="O637" i="42"/>
  <c r="P637" i="42"/>
  <c r="O638" i="42"/>
  <c r="P638" i="42"/>
  <c r="O639" i="42"/>
  <c r="P639" i="42"/>
  <c r="O640" i="42"/>
  <c r="P640" i="42"/>
  <c r="O642" i="42"/>
  <c r="P642" i="42"/>
  <c r="O641" i="42"/>
  <c r="P641" i="42"/>
  <c r="O643" i="42"/>
  <c r="P643" i="42"/>
  <c r="O644" i="42"/>
  <c r="P644" i="42"/>
  <c r="O645" i="42"/>
  <c r="P645" i="42"/>
  <c r="O646" i="42"/>
  <c r="P646" i="42"/>
  <c r="O647" i="42"/>
  <c r="P647" i="42"/>
  <c r="O648" i="42"/>
  <c r="P648" i="42"/>
  <c r="O649" i="42"/>
  <c r="P649" i="42"/>
  <c r="O650" i="42"/>
  <c r="P650" i="42"/>
  <c r="O651" i="42"/>
  <c r="P651" i="42"/>
  <c r="O652" i="42"/>
  <c r="P652" i="42"/>
  <c r="O653" i="42"/>
  <c r="P653" i="42"/>
  <c r="O654" i="42"/>
  <c r="P654" i="42"/>
  <c r="O655" i="42"/>
  <c r="P655" i="42"/>
  <c r="O656" i="42"/>
  <c r="P656" i="42"/>
  <c r="O657" i="42"/>
  <c r="P657" i="42"/>
  <c r="O658" i="42"/>
  <c r="P658" i="42"/>
  <c r="O659" i="42"/>
  <c r="P659" i="42"/>
  <c r="O660" i="42"/>
  <c r="P660" i="42"/>
  <c r="O661" i="42"/>
  <c r="P661" i="42"/>
  <c r="O662" i="42"/>
  <c r="P662" i="42"/>
  <c r="O663" i="42"/>
  <c r="P663" i="42"/>
  <c r="O664" i="42"/>
  <c r="P664" i="42"/>
  <c r="O665" i="42"/>
  <c r="P665" i="42"/>
  <c r="O666" i="42"/>
  <c r="P666" i="42"/>
  <c r="O667" i="42"/>
  <c r="P667" i="42"/>
  <c r="O668" i="42"/>
  <c r="P668" i="42"/>
  <c r="O669" i="42"/>
  <c r="P669" i="42"/>
  <c r="O773" i="42"/>
  <c r="P773" i="42"/>
  <c r="O777" i="42"/>
  <c r="P777" i="42"/>
  <c r="O779" i="42"/>
  <c r="P779" i="42"/>
  <c r="O780" i="42"/>
  <c r="P780" i="42"/>
  <c r="O720" i="42"/>
  <c r="P720" i="42"/>
  <c r="O682" i="42"/>
  <c r="P682" i="42"/>
  <c r="O683" i="42"/>
  <c r="P683" i="42"/>
  <c r="O684" i="42"/>
  <c r="P684" i="42"/>
  <c r="O774" i="42"/>
  <c r="P774" i="42"/>
  <c r="O729" i="42"/>
  <c r="P729" i="42"/>
  <c r="P707" i="42"/>
  <c r="P759" i="42"/>
  <c r="P750" i="42"/>
  <c r="P671" i="42"/>
  <c r="P724" i="42"/>
  <c r="P725" i="42"/>
  <c r="P672" i="42"/>
  <c r="P673" i="42"/>
  <c r="P721" i="42"/>
  <c r="P708" i="42"/>
  <c r="P704" i="42"/>
  <c r="P713" i="42"/>
  <c r="P714" i="42"/>
  <c r="P676" i="42"/>
  <c r="P698" i="42"/>
  <c r="P699" i="42"/>
  <c r="P760" i="42"/>
  <c r="P747" i="42"/>
  <c r="P753" i="42"/>
  <c r="P757" i="42"/>
  <c r="P765" i="42"/>
  <c r="P781" i="42"/>
  <c r="P782" i="42"/>
  <c r="P685" i="42"/>
  <c r="P686" i="42"/>
  <c r="P687" i="42"/>
  <c r="P775" i="42"/>
  <c r="P726" i="42"/>
  <c r="P730" i="42"/>
  <c r="P722" i="42"/>
  <c r="P709" i="42"/>
  <c r="P710" i="42"/>
  <c r="P705" i="42"/>
  <c r="P715" i="42"/>
  <c r="P677" i="42"/>
  <c r="P700" i="42"/>
  <c r="P701" i="42"/>
  <c r="P761" i="42"/>
  <c r="P762" i="42"/>
  <c r="P748" i="42"/>
  <c r="P754" i="42"/>
  <c r="P752" i="42"/>
  <c r="P758" i="42"/>
  <c r="P766" i="42"/>
  <c r="P732" i="42"/>
  <c r="P694" i="42"/>
  <c r="P742" i="42"/>
  <c r="P767" i="42"/>
  <c r="P783" i="42"/>
  <c r="P719" i="42"/>
  <c r="P688" i="42"/>
  <c r="P689" i="42"/>
  <c r="P776" i="42"/>
  <c r="P727" i="42"/>
  <c r="P731" i="42"/>
  <c r="P778" i="42"/>
  <c r="P674" i="42"/>
  <c r="P675" i="42"/>
  <c r="P723" i="42"/>
  <c r="P711" i="42"/>
  <c r="P712" i="42"/>
  <c r="P706" i="42"/>
  <c r="P716" i="42"/>
  <c r="P717" i="42"/>
  <c r="P678" i="42"/>
  <c r="P679" i="42"/>
  <c r="P763" i="42"/>
  <c r="P749" i="42"/>
  <c r="P755" i="42"/>
  <c r="P751" i="42"/>
  <c r="P756" i="42"/>
  <c r="P768" i="42"/>
  <c r="P718" i="42"/>
  <c r="P733" i="42"/>
  <c r="P734" i="42"/>
  <c r="P695" i="42"/>
  <c r="P696" i="42"/>
  <c r="P697" i="42"/>
  <c r="P743" i="42"/>
  <c r="P735" i="42"/>
  <c r="P744" i="42"/>
  <c r="P736" i="42"/>
  <c r="P769" i="42"/>
  <c r="P770" i="42"/>
  <c r="P771" i="42"/>
  <c r="P737" i="42"/>
  <c r="P738" i="42"/>
  <c r="P739" i="42"/>
  <c r="P745" i="42"/>
  <c r="P772" i="42"/>
  <c r="P740" i="42"/>
  <c r="P741" i="42"/>
  <c r="P746" i="42"/>
  <c r="P680" i="42"/>
  <c r="P681" i="42"/>
  <c r="P690" i="42"/>
  <c r="P691" i="42"/>
  <c r="P692" i="42"/>
  <c r="P693" i="42"/>
  <c r="P728" i="42"/>
  <c r="P702" i="42"/>
  <c r="P703" i="42"/>
  <c r="P764" i="42"/>
  <c r="P670" i="42"/>
  <c r="P785" i="42"/>
  <c r="P786" i="42"/>
  <c r="P784" i="42"/>
  <c r="P787" i="42"/>
  <c r="P788" i="42"/>
  <c r="P789" i="42"/>
  <c r="P790" i="42"/>
  <c r="P791" i="42"/>
  <c r="P792" i="42"/>
  <c r="P793" i="42"/>
  <c r="P794" i="42"/>
  <c r="P795" i="42"/>
  <c r="P796" i="42"/>
  <c r="P797" i="42"/>
  <c r="P798" i="42"/>
  <c r="P799" i="42"/>
  <c r="P800" i="42"/>
  <c r="P801" i="42"/>
  <c r="P810" i="42"/>
  <c r="P811" i="42"/>
  <c r="P812" i="42"/>
  <c r="P813" i="42"/>
  <c r="P814" i="42"/>
  <c r="P815" i="42"/>
  <c r="P816" i="42"/>
  <c r="P817" i="42"/>
  <c r="P802" i="42"/>
  <c r="P803" i="42"/>
  <c r="P804" i="42"/>
  <c r="P805" i="42"/>
  <c r="P806" i="42"/>
  <c r="P807" i="42"/>
  <c r="P808" i="42"/>
  <c r="P809" i="42"/>
  <c r="P819" i="42"/>
  <c r="P818" i="42"/>
  <c r="P821" i="42"/>
  <c r="P820" i="42"/>
  <c r="P835" i="42"/>
  <c r="P836" i="42"/>
  <c r="P837" i="42"/>
  <c r="P822" i="42"/>
  <c r="P823" i="42"/>
  <c r="P834" i="42"/>
  <c r="P833" i="42"/>
  <c r="P832" i="42"/>
  <c r="P827" i="42"/>
  <c r="P828" i="42"/>
  <c r="P825" i="42"/>
  <c r="P829" i="42"/>
  <c r="P826" i="42"/>
  <c r="P830" i="42"/>
  <c r="P831" i="42"/>
  <c r="P824" i="42"/>
  <c r="P839" i="42"/>
  <c r="P838" i="42"/>
  <c r="P842" i="42"/>
  <c r="P843" i="42"/>
  <c r="P840" i="42"/>
  <c r="P841" i="42"/>
  <c r="P845" i="42"/>
  <c r="P844" i="42"/>
  <c r="P846" i="42"/>
  <c r="P847" i="42"/>
  <c r="P852" i="42"/>
  <c r="P853" i="42"/>
  <c r="P848" i="42"/>
  <c r="P849" i="42"/>
  <c r="P850" i="42"/>
  <c r="P851" i="42"/>
  <c r="P854" i="42"/>
  <c r="P855" i="42"/>
  <c r="P856" i="42"/>
  <c r="P857" i="42"/>
  <c r="P858" i="42"/>
  <c r="P859" i="42"/>
  <c r="P860" i="42"/>
  <c r="P861" i="42"/>
  <c r="P862" i="42"/>
  <c r="P863" i="42"/>
  <c r="P864" i="42"/>
  <c r="P884" i="42"/>
  <c r="P886" i="42"/>
  <c r="P887" i="42"/>
  <c r="P888" i="42"/>
  <c r="P889" i="42"/>
  <c r="P890" i="42"/>
  <c r="P891" i="42"/>
  <c r="P892" i="42"/>
  <c r="P893" i="42"/>
  <c r="P894" i="42"/>
  <c r="P895" i="42"/>
  <c r="P896" i="42"/>
  <c r="P897" i="42"/>
  <c r="P898" i="42"/>
  <c r="P899" i="42"/>
  <c r="P900" i="42"/>
  <c r="P901" i="42"/>
  <c r="P902" i="42"/>
  <c r="P865" i="42"/>
  <c r="P866" i="42"/>
  <c r="P867" i="42"/>
  <c r="P868" i="42"/>
  <c r="P869" i="42"/>
  <c r="P870" i="42"/>
  <c r="P871" i="42"/>
  <c r="P872" i="42"/>
  <c r="P873" i="42"/>
  <c r="P874" i="42"/>
  <c r="P875" i="42"/>
  <c r="P876" i="42"/>
  <c r="P877" i="42"/>
  <c r="P878" i="42"/>
  <c r="P879" i="42"/>
  <c r="P880" i="42"/>
  <c r="P881" i="42"/>
  <c r="P882" i="42"/>
  <c r="P883" i="42"/>
  <c r="P923" i="42"/>
  <c r="P924" i="42"/>
  <c r="P925" i="42"/>
  <c r="P926" i="42"/>
  <c r="P927" i="42"/>
  <c r="P928" i="42"/>
  <c r="P929" i="42"/>
  <c r="P930" i="42"/>
  <c r="P931" i="42"/>
  <c r="P932" i="42"/>
  <c r="P933" i="42"/>
  <c r="P934" i="42"/>
  <c r="P935" i="42"/>
  <c r="P936" i="42"/>
  <c r="P937" i="42"/>
  <c r="P938" i="42"/>
  <c r="P939" i="42"/>
  <c r="P940" i="42"/>
  <c r="P941" i="42"/>
  <c r="P903" i="42"/>
  <c r="P904" i="42"/>
  <c r="P905" i="42"/>
  <c r="P906" i="42"/>
  <c r="P907" i="42"/>
  <c r="P908" i="42"/>
  <c r="P909" i="42"/>
  <c r="P910" i="42"/>
  <c r="P911" i="42"/>
  <c r="P912" i="42"/>
  <c r="P913" i="42"/>
  <c r="P914" i="42"/>
  <c r="P915" i="42"/>
  <c r="P916" i="42"/>
  <c r="P917" i="42"/>
  <c r="P918" i="42"/>
  <c r="P919" i="42"/>
  <c r="P920" i="42"/>
  <c r="P921" i="42"/>
  <c r="P922" i="42"/>
  <c r="P942" i="42"/>
  <c r="P943" i="42"/>
  <c r="P944" i="42"/>
  <c r="P945" i="42"/>
  <c r="P946" i="42"/>
  <c r="P947" i="42"/>
  <c r="P948" i="42"/>
  <c r="P949" i="42"/>
  <c r="P950" i="42"/>
  <c r="P951" i="42"/>
  <c r="P962" i="42"/>
  <c r="P963" i="42"/>
  <c r="P964" i="42"/>
  <c r="P965" i="42"/>
  <c r="P966" i="42"/>
  <c r="P967" i="42"/>
  <c r="P968" i="42"/>
  <c r="P969" i="42"/>
  <c r="P970" i="42"/>
  <c r="P971" i="42"/>
  <c r="P952" i="42"/>
  <c r="P953" i="42"/>
  <c r="P954" i="42"/>
  <c r="P955" i="42"/>
  <c r="P956" i="42"/>
  <c r="P957" i="42"/>
  <c r="P958" i="42"/>
  <c r="P959" i="42"/>
  <c r="P960" i="42"/>
  <c r="P961" i="42"/>
  <c r="P972" i="42"/>
  <c r="P973" i="42"/>
  <c r="P974" i="42"/>
  <c r="P975" i="42"/>
  <c r="P976" i="42"/>
  <c r="P977" i="42"/>
  <c r="P978" i="42"/>
  <c r="P979" i="42"/>
  <c r="P980" i="42"/>
  <c r="P981" i="42"/>
  <c r="P982" i="42"/>
  <c r="P983" i="42"/>
  <c r="P984" i="42"/>
  <c r="P985" i="42"/>
  <c r="P986" i="42"/>
  <c r="P987" i="42"/>
  <c r="P988" i="42"/>
  <c r="P989" i="42"/>
  <c r="P990" i="42"/>
  <c r="P991" i="42"/>
  <c r="P992" i="42"/>
  <c r="P993" i="42"/>
  <c r="P994" i="42"/>
  <c r="P995" i="42"/>
  <c r="P996" i="42"/>
  <c r="P997" i="42"/>
  <c r="P998" i="42"/>
  <c r="P999" i="42"/>
  <c r="P1000" i="42"/>
  <c r="P1001" i="42"/>
  <c r="P1002" i="42"/>
  <c r="P1003" i="42"/>
  <c r="P1004" i="42"/>
  <c r="P1005" i="42"/>
  <c r="P1006" i="42"/>
  <c r="P1007" i="42"/>
  <c r="P1008" i="42"/>
  <c r="P1009" i="42"/>
  <c r="P1010" i="42"/>
  <c r="P1011" i="42"/>
  <c r="P1012" i="42"/>
  <c r="P1013" i="42"/>
  <c r="P1014" i="42"/>
  <c r="P1015" i="42"/>
  <c r="P1016" i="42"/>
  <c r="P1017" i="42"/>
  <c r="P1018" i="42"/>
  <c r="P1019" i="42"/>
  <c r="P1020" i="42"/>
  <c r="P1021" i="42"/>
  <c r="P1022" i="42"/>
  <c r="P1023" i="42"/>
  <c r="P1024" i="42"/>
  <c r="P1025" i="42"/>
  <c r="P1026" i="42"/>
  <c r="P1027" i="42"/>
  <c r="P1028" i="42"/>
  <c r="P1029" i="42"/>
  <c r="P1030" i="42"/>
  <c r="P1031" i="42"/>
  <c r="P1032" i="42"/>
  <c r="P1033" i="42"/>
  <c r="P1034" i="42"/>
  <c r="P1035" i="42"/>
  <c r="P1040" i="42"/>
  <c r="P1041" i="42"/>
  <c r="P1042" i="42"/>
  <c r="P1043" i="42"/>
  <c r="P1044" i="42"/>
  <c r="P1045" i="42"/>
  <c r="P1046" i="42"/>
  <c r="P1047" i="42"/>
  <c r="P1048" i="42"/>
  <c r="P1049" i="42"/>
  <c r="P1050" i="42"/>
  <c r="P1051" i="42"/>
  <c r="P1052" i="42"/>
  <c r="P1053" i="42"/>
  <c r="P1054" i="42"/>
  <c r="P1055" i="42"/>
  <c r="P1056" i="42"/>
  <c r="P1036" i="42"/>
  <c r="P1037" i="42"/>
  <c r="P1038" i="42"/>
  <c r="P1039" i="42"/>
  <c r="P1087" i="42"/>
  <c r="P1088" i="42"/>
  <c r="P1057" i="42"/>
  <c r="P1058" i="42"/>
  <c r="P1059" i="42"/>
  <c r="P1060" i="42"/>
  <c r="P1061" i="42"/>
  <c r="P1062" i="42"/>
  <c r="P1063" i="42"/>
  <c r="P1064" i="42"/>
  <c r="P1065" i="42"/>
  <c r="P1066" i="42"/>
  <c r="P1067" i="42"/>
  <c r="P1068" i="42"/>
  <c r="P1069" i="42"/>
  <c r="P1070" i="42"/>
  <c r="P1071" i="42"/>
  <c r="P1072" i="42"/>
  <c r="P1073" i="42"/>
  <c r="P1074" i="42"/>
  <c r="P1075" i="42"/>
  <c r="P1076" i="42"/>
  <c r="P1077" i="42"/>
  <c r="P1078" i="42"/>
  <c r="P1079" i="42"/>
  <c r="P1080" i="42"/>
  <c r="P1081" i="42"/>
  <c r="P1082" i="42"/>
  <c r="P1083" i="42"/>
  <c r="P1084" i="42"/>
  <c r="P1085" i="42"/>
  <c r="P1086" i="42"/>
  <c r="P1097" i="42"/>
  <c r="P1098" i="42"/>
  <c r="P1099" i="42"/>
  <c r="P1100" i="42"/>
  <c r="P1101" i="42"/>
  <c r="P1102" i="42"/>
  <c r="P1103" i="42"/>
  <c r="P1104" i="42"/>
  <c r="P1105" i="42"/>
  <c r="P1106" i="42"/>
  <c r="P1107" i="42"/>
  <c r="P1108" i="42"/>
  <c r="P1109" i="42"/>
  <c r="P1110" i="42"/>
  <c r="P1111" i="42"/>
  <c r="P1112" i="42"/>
  <c r="P1113" i="42"/>
  <c r="P1114" i="42"/>
  <c r="P1115" i="42"/>
  <c r="P1116" i="42"/>
  <c r="P1117" i="42"/>
  <c r="P1118" i="42"/>
  <c r="P1119" i="42"/>
  <c r="P1120" i="42"/>
  <c r="P1121" i="42"/>
  <c r="P1122" i="42"/>
  <c r="P1123" i="42"/>
  <c r="P1124" i="42"/>
  <c r="P1125" i="42"/>
  <c r="P1126" i="42"/>
  <c r="P1093" i="42"/>
  <c r="P1094" i="42"/>
  <c r="P1095" i="42"/>
  <c r="P1096" i="42"/>
  <c r="P1089" i="42"/>
  <c r="P1090" i="42"/>
  <c r="P1091" i="42"/>
  <c r="P1092" i="42"/>
  <c r="P1127" i="42"/>
  <c r="P1128" i="42"/>
  <c r="P1129" i="42"/>
  <c r="P1130" i="42"/>
  <c r="P1131" i="42"/>
  <c r="P1132" i="42"/>
  <c r="P1133" i="42"/>
  <c r="P1134" i="42"/>
  <c r="P1135" i="42"/>
  <c r="P1136" i="42"/>
  <c r="P1137" i="42"/>
  <c r="P1138" i="42"/>
  <c r="P1139" i="42"/>
  <c r="P1140" i="42"/>
  <c r="P1141" i="42"/>
  <c r="P1142" i="42"/>
  <c r="P1143" i="42"/>
  <c r="P1144" i="42"/>
  <c r="P1145" i="42"/>
  <c r="P1146" i="42"/>
  <c r="P1147" i="42"/>
  <c r="P1148" i="42"/>
  <c r="P1149" i="42"/>
  <c r="P1150" i="42"/>
  <c r="P1151" i="42"/>
  <c r="P1152" i="42"/>
  <c r="P1153" i="42"/>
  <c r="P1154" i="42"/>
  <c r="P1155" i="42"/>
  <c r="P1156" i="42"/>
  <c r="J7" i="41"/>
  <c r="N7" i="41" s="1"/>
  <c r="O7" i="41"/>
  <c r="J8" i="41"/>
  <c r="L8" i="41" s="1"/>
  <c r="O8" i="41"/>
  <c r="J9" i="41"/>
  <c r="O9" i="41"/>
  <c r="J10" i="41"/>
  <c r="L10" i="41" s="1"/>
  <c r="O10" i="41"/>
  <c r="J11" i="41"/>
  <c r="O11" i="41"/>
  <c r="J12" i="41"/>
  <c r="L12" i="41" s="1"/>
  <c r="O12" i="41"/>
  <c r="J13" i="41"/>
  <c r="N13" i="41" s="1"/>
  <c r="O13" i="41"/>
  <c r="J14" i="41"/>
  <c r="L14" i="41" s="1"/>
  <c r="O14" i="41"/>
  <c r="J15" i="41"/>
  <c r="N15" i="41" s="1"/>
  <c r="O15" i="41"/>
  <c r="J16" i="41"/>
  <c r="L16" i="41" s="1"/>
  <c r="O16" i="41"/>
  <c r="J17" i="41"/>
  <c r="N17" i="41" s="1"/>
  <c r="O17" i="41"/>
  <c r="J18" i="41"/>
  <c r="N18" i="41" s="1"/>
  <c r="O18" i="41"/>
  <c r="J19" i="41"/>
  <c r="L19" i="41" s="1"/>
  <c r="O19" i="41"/>
  <c r="J20" i="41"/>
  <c r="N20" i="41" s="1"/>
  <c r="O20" i="41"/>
  <c r="J21" i="41"/>
  <c r="L21" i="41" s="1"/>
  <c r="O21" i="41"/>
  <c r="J22" i="41"/>
  <c r="N22" i="41" s="1"/>
  <c r="O22" i="41"/>
  <c r="J23" i="41"/>
  <c r="N23" i="41" s="1"/>
  <c r="O23" i="41"/>
  <c r="J24" i="41"/>
  <c r="N24" i="41" s="1"/>
  <c r="O24" i="41"/>
  <c r="J25" i="41"/>
  <c r="O25" i="41"/>
  <c r="J26" i="41"/>
  <c r="L26" i="41" s="1"/>
  <c r="O26" i="41"/>
  <c r="J27" i="41"/>
  <c r="O27" i="41"/>
  <c r="J28" i="41"/>
  <c r="L28" i="41" s="1"/>
  <c r="O28" i="41"/>
  <c r="J29" i="41"/>
  <c r="L29" i="41" s="1"/>
  <c r="O29" i="41"/>
  <c r="J30" i="41"/>
  <c r="L30" i="41" s="1"/>
  <c r="O30" i="41"/>
  <c r="J31" i="41"/>
  <c r="N31" i="41" s="1"/>
  <c r="O31" i="41"/>
  <c r="J32" i="41"/>
  <c r="N32" i="41" s="1"/>
  <c r="O32" i="41"/>
  <c r="J33" i="41"/>
  <c r="L33" i="41" s="1"/>
  <c r="O33" i="41"/>
  <c r="J34" i="41"/>
  <c r="N34" i="41" s="1"/>
  <c r="O34" i="41"/>
  <c r="J35" i="41"/>
  <c r="N35" i="41" s="1"/>
  <c r="O35" i="41"/>
  <c r="J36" i="41"/>
  <c r="N36" i="41" s="1"/>
  <c r="O36" i="41"/>
  <c r="J37" i="41"/>
  <c r="N37" i="41" s="1"/>
  <c r="O37" i="41"/>
  <c r="J38" i="41"/>
  <c r="O38" i="41"/>
  <c r="J39" i="41"/>
  <c r="N39" i="41" s="1"/>
  <c r="O39" i="41"/>
  <c r="J40" i="41"/>
  <c r="N40" i="41" s="1"/>
  <c r="O40" i="41"/>
  <c r="J41" i="41"/>
  <c r="N41" i="41" s="1"/>
  <c r="O41" i="41"/>
  <c r="J42" i="41"/>
  <c r="N42" i="41" s="1"/>
  <c r="O42" i="41"/>
  <c r="J43" i="41"/>
  <c r="L43" i="41" s="1"/>
  <c r="O43" i="41"/>
  <c r="J44" i="41"/>
  <c r="L44" i="41" s="1"/>
  <c r="O44" i="41"/>
  <c r="J45" i="41"/>
  <c r="L45" i="41" s="1"/>
  <c r="O45" i="41"/>
  <c r="J46" i="41"/>
  <c r="N46" i="41" s="1"/>
  <c r="O46" i="41"/>
  <c r="L47" i="41"/>
  <c r="N47" i="41"/>
  <c r="O47" i="41"/>
  <c r="J48" i="41"/>
  <c r="N48" i="41" s="1"/>
  <c r="O48" i="41"/>
  <c r="J49" i="41"/>
  <c r="N49" i="41" s="1"/>
  <c r="O49" i="41"/>
  <c r="J50" i="41"/>
  <c r="N50" i="41" s="1"/>
  <c r="O50" i="41"/>
  <c r="J51" i="41"/>
  <c r="N51" i="41" s="1"/>
  <c r="O51" i="41"/>
  <c r="J52" i="41"/>
  <c r="N52" i="41" s="1"/>
  <c r="O52" i="41"/>
  <c r="L53" i="41"/>
  <c r="N53" i="41"/>
  <c r="O53" i="41"/>
  <c r="L54" i="41"/>
  <c r="N54" i="41"/>
  <c r="O54" i="41"/>
  <c r="L55" i="41"/>
  <c r="N55" i="41"/>
  <c r="O55" i="41"/>
  <c r="L56" i="41"/>
  <c r="N56" i="41"/>
  <c r="O56" i="41"/>
  <c r="L57" i="41"/>
  <c r="N57" i="41"/>
  <c r="O57" i="41"/>
  <c r="L58" i="41"/>
  <c r="N58" i="41"/>
  <c r="O58" i="41"/>
  <c r="L59" i="41"/>
  <c r="N59" i="41"/>
  <c r="O59" i="41"/>
  <c r="L60" i="41"/>
  <c r="N60" i="41"/>
  <c r="O60" i="41"/>
  <c r="J61" i="41"/>
  <c r="N61" i="41" s="1"/>
  <c r="O61" i="41"/>
  <c r="J62" i="41"/>
  <c r="L62" i="41" s="1"/>
  <c r="O62" i="41"/>
  <c r="J63" i="41"/>
  <c r="N63" i="41" s="1"/>
  <c r="O63" i="41"/>
  <c r="J64" i="41"/>
  <c r="N64" i="41" s="1"/>
  <c r="O64" i="41"/>
  <c r="J65" i="41"/>
  <c r="O65" i="41"/>
  <c r="J66" i="41"/>
  <c r="L66" i="41" s="1"/>
  <c r="O66" i="41"/>
  <c r="J67" i="41"/>
  <c r="N67" i="41" s="1"/>
  <c r="O67" i="41"/>
  <c r="J68" i="41"/>
  <c r="N68" i="41" s="1"/>
  <c r="O68" i="41"/>
  <c r="J69" i="41"/>
  <c r="N69" i="41" s="1"/>
  <c r="O69" i="41"/>
  <c r="J70" i="41"/>
  <c r="N70" i="41" s="1"/>
  <c r="O70" i="41"/>
  <c r="J71" i="41"/>
  <c r="N71" i="41" s="1"/>
  <c r="O71" i="41"/>
  <c r="J72" i="41"/>
  <c r="N72" i="41" s="1"/>
  <c r="O72" i="41"/>
  <c r="J73" i="41"/>
  <c r="N73" i="41" s="1"/>
  <c r="O73" i="41"/>
  <c r="J74" i="41"/>
  <c r="N74" i="41" s="1"/>
  <c r="O74" i="41"/>
  <c r="J75" i="41"/>
  <c r="N75" i="41" s="1"/>
  <c r="O75" i="41"/>
  <c r="J76" i="41"/>
  <c r="N76" i="41" s="1"/>
  <c r="O76" i="41"/>
  <c r="J77" i="41"/>
  <c r="N77" i="41" s="1"/>
  <c r="O77" i="41"/>
  <c r="J78" i="41"/>
  <c r="N78" i="41" s="1"/>
  <c r="O78" i="41"/>
  <c r="J79" i="41"/>
  <c r="N79" i="41" s="1"/>
  <c r="O79" i="41"/>
  <c r="J80" i="41"/>
  <c r="N80" i="41" s="1"/>
  <c r="O80" i="41"/>
  <c r="J81" i="41"/>
  <c r="N81" i="41" s="1"/>
  <c r="O81" i="41"/>
  <c r="J82" i="41"/>
  <c r="N82" i="41" s="1"/>
  <c r="O82" i="41"/>
  <c r="J83" i="41"/>
  <c r="N83" i="41" s="1"/>
  <c r="O83" i="41"/>
  <c r="J84" i="41"/>
  <c r="N84" i="41" s="1"/>
  <c r="O84" i="41"/>
  <c r="J85" i="41"/>
  <c r="O85" i="41"/>
  <c r="J86" i="41"/>
  <c r="N86" i="41" s="1"/>
  <c r="O86" i="41"/>
  <c r="J87" i="41"/>
  <c r="N87" i="41" s="1"/>
  <c r="O87" i="41"/>
  <c r="J88" i="41"/>
  <c r="N88" i="41" s="1"/>
  <c r="O88" i="41"/>
  <c r="J89" i="41"/>
  <c r="N89" i="41" s="1"/>
  <c r="O89" i="41"/>
  <c r="J90" i="41"/>
  <c r="O90" i="41"/>
  <c r="J91" i="41"/>
  <c r="N91" i="41" s="1"/>
  <c r="O91" i="41"/>
  <c r="J92" i="41"/>
  <c r="N92" i="41" s="1"/>
  <c r="O92" i="41"/>
  <c r="J93" i="41"/>
  <c r="N93" i="41" s="1"/>
  <c r="O93" i="41"/>
  <c r="J94" i="41"/>
  <c r="N94" i="41" s="1"/>
  <c r="O94" i="41"/>
  <c r="J95" i="41"/>
  <c r="N95" i="41" s="1"/>
  <c r="O95" i="41"/>
  <c r="J96" i="41"/>
  <c r="N96" i="41" s="1"/>
  <c r="O96" i="41"/>
  <c r="J97" i="41"/>
  <c r="N97" i="41" s="1"/>
  <c r="O97" i="41"/>
  <c r="J98" i="41"/>
  <c r="N98" i="41" s="1"/>
  <c r="O98" i="41"/>
  <c r="J99" i="41"/>
  <c r="L99" i="41" s="1"/>
  <c r="O99" i="41"/>
  <c r="J100" i="41"/>
  <c r="L100" i="41" s="1"/>
  <c r="O100" i="41"/>
  <c r="J101" i="41"/>
  <c r="L101" i="41" s="1"/>
  <c r="O101" i="41"/>
  <c r="J102" i="41"/>
  <c r="N102" i="41" s="1"/>
  <c r="O102" i="41"/>
  <c r="J103" i="41"/>
  <c r="O103" i="41"/>
  <c r="J104" i="41"/>
  <c r="N104" i="41" s="1"/>
  <c r="O104" i="41"/>
  <c r="J105" i="41"/>
  <c r="N105" i="41" s="1"/>
  <c r="O105" i="41"/>
  <c r="J106" i="41"/>
  <c r="N106" i="41" s="1"/>
  <c r="O106" i="41"/>
  <c r="J107" i="41"/>
  <c r="N107" i="41" s="1"/>
  <c r="O107" i="41"/>
  <c r="J108" i="41"/>
  <c r="N108" i="41" s="1"/>
  <c r="O108" i="41"/>
  <c r="J109" i="41"/>
  <c r="N109" i="41" s="1"/>
  <c r="O109" i="41"/>
  <c r="J110" i="41"/>
  <c r="O110" i="41"/>
  <c r="J111" i="41"/>
  <c r="N111" i="41" s="1"/>
  <c r="O111" i="41"/>
  <c r="J112" i="41"/>
  <c r="N112" i="41" s="1"/>
  <c r="O112" i="41"/>
  <c r="J113" i="41"/>
  <c r="N113" i="41" s="1"/>
  <c r="O113" i="41"/>
  <c r="J114" i="41"/>
  <c r="O114" i="41"/>
  <c r="J115" i="41"/>
  <c r="N115" i="41" s="1"/>
  <c r="O115" i="41"/>
  <c r="J116" i="41"/>
  <c r="N116" i="41" s="1"/>
  <c r="O116" i="41"/>
  <c r="P118" i="41"/>
  <c r="J7" i="39"/>
  <c r="L7" i="39" s="1"/>
  <c r="N7" i="39" s="1"/>
  <c r="O7" i="39"/>
  <c r="J8" i="39"/>
  <c r="L8" i="39" s="1"/>
  <c r="N8" i="39" s="1"/>
  <c r="O8" i="39"/>
  <c r="J9" i="39"/>
  <c r="L9" i="39" s="1"/>
  <c r="N9" i="39" s="1"/>
  <c r="O9" i="39"/>
  <c r="J10" i="39"/>
  <c r="L10" i="39" s="1"/>
  <c r="N10" i="39" s="1"/>
  <c r="O10" i="39"/>
  <c r="J11" i="39"/>
  <c r="L11" i="39" s="1"/>
  <c r="N11" i="39" s="1"/>
  <c r="O11" i="39"/>
  <c r="J12" i="39"/>
  <c r="L12" i="39" s="1"/>
  <c r="O12" i="39"/>
  <c r="J13" i="39"/>
  <c r="N13" i="39" s="1"/>
  <c r="O13" i="39"/>
  <c r="J14" i="39"/>
  <c r="O14" i="39"/>
  <c r="J15" i="39"/>
  <c r="L15" i="39" s="1"/>
  <c r="O15" i="39"/>
  <c r="J16" i="39"/>
  <c r="O16" i="39"/>
  <c r="J17" i="39"/>
  <c r="L17" i="39" s="1"/>
  <c r="O17" i="39"/>
  <c r="J18" i="39"/>
  <c r="L18" i="39" s="1"/>
  <c r="O18" i="39"/>
  <c r="L19" i="39"/>
  <c r="N19" i="39"/>
  <c r="O19" i="39"/>
  <c r="L20" i="39"/>
  <c r="N20" i="39"/>
  <c r="O20" i="39"/>
  <c r="L21" i="39"/>
  <c r="N21" i="39"/>
  <c r="O21" i="39"/>
  <c r="L22" i="39"/>
  <c r="N22" i="39"/>
  <c r="O22" i="39"/>
  <c r="L23" i="39"/>
  <c r="N23" i="39"/>
  <c r="O23" i="39"/>
  <c r="L24" i="39"/>
  <c r="N24" i="39"/>
  <c r="O24" i="39"/>
  <c r="L25" i="39"/>
  <c r="N25" i="39"/>
  <c r="O25" i="39"/>
  <c r="L26" i="39"/>
  <c r="N26" i="39"/>
  <c r="O26" i="39"/>
  <c r="L27" i="39"/>
  <c r="N27" i="39"/>
  <c r="O27" i="39"/>
  <c r="L28" i="39"/>
  <c r="N28" i="39"/>
  <c r="O28" i="39"/>
  <c r="L29" i="39"/>
  <c r="N29" i="39"/>
  <c r="O29" i="39"/>
  <c r="L30" i="39"/>
  <c r="N30" i="39"/>
  <c r="O30" i="39"/>
  <c r="L31" i="39"/>
  <c r="N31" i="39"/>
  <c r="O31" i="39"/>
  <c r="J32" i="39"/>
  <c r="N32" i="39" s="1"/>
  <c r="O32" i="39"/>
  <c r="J33" i="39"/>
  <c r="L33" i="39" s="1"/>
  <c r="O33" i="39"/>
  <c r="J34" i="39"/>
  <c r="N34" i="39" s="1"/>
  <c r="O34" i="39"/>
  <c r="J35" i="39"/>
  <c r="L35" i="39" s="1"/>
  <c r="O35" i="39"/>
  <c r="L36" i="39"/>
  <c r="N36" i="39"/>
  <c r="O36" i="39"/>
  <c r="J37" i="39"/>
  <c r="N37" i="39" s="1"/>
  <c r="O37" i="39"/>
  <c r="J38" i="39"/>
  <c r="O38" i="39"/>
  <c r="J39" i="39"/>
  <c r="L39" i="39" s="1"/>
  <c r="O39" i="39"/>
  <c r="L7" i="40"/>
  <c r="N7" i="40"/>
  <c r="O7" i="40"/>
  <c r="L8" i="40"/>
  <c r="N8" i="40"/>
  <c r="O8" i="40"/>
  <c r="L9" i="40"/>
  <c r="N9" i="40"/>
  <c r="O9" i="40"/>
  <c r="P9" i="40" s="1"/>
  <c r="Q9" i="40" s="1"/>
  <c r="L10" i="40"/>
  <c r="N10" i="40"/>
  <c r="O10" i="40"/>
  <c r="L11" i="40"/>
  <c r="N11" i="40"/>
  <c r="O11" i="40"/>
  <c r="L12" i="40"/>
  <c r="N12" i="40"/>
  <c r="O12" i="40"/>
  <c r="L13" i="40"/>
  <c r="N13" i="40"/>
  <c r="O13" i="40"/>
  <c r="L14" i="40"/>
  <c r="N14" i="40"/>
  <c r="O14" i="40"/>
  <c r="L15" i="40"/>
  <c r="N15" i="40"/>
  <c r="O15" i="40"/>
  <c r="L16" i="40"/>
  <c r="N16" i="40"/>
  <c r="O16" i="40"/>
  <c r="L17" i="40"/>
  <c r="N17" i="40"/>
  <c r="O17" i="40"/>
  <c r="L18" i="40"/>
  <c r="N18" i="40"/>
  <c r="O18" i="40"/>
  <c r="L19" i="40"/>
  <c r="N19" i="40"/>
  <c r="O19" i="40"/>
  <c r="L20" i="40"/>
  <c r="N20" i="40"/>
  <c r="O20" i="40"/>
  <c r="L21" i="40"/>
  <c r="I49" i="40" s="1"/>
  <c r="N21" i="40"/>
  <c r="O21" i="40"/>
  <c r="L22" i="40"/>
  <c r="I52" i="40" s="1"/>
  <c r="N22" i="40"/>
  <c r="O22" i="40"/>
  <c r="J23" i="40"/>
  <c r="L23" i="40" s="1"/>
  <c r="I55" i="40" s="1"/>
  <c r="O23" i="40"/>
  <c r="L24" i="40"/>
  <c r="I56" i="40" s="1"/>
  <c r="N24" i="40"/>
  <c r="O24" i="40"/>
  <c r="L25" i="40"/>
  <c r="I58" i="40" s="1"/>
  <c r="N25" i="40"/>
  <c r="O25" i="40"/>
  <c r="L26" i="40"/>
  <c r="N26" i="40"/>
  <c r="O26" i="40"/>
  <c r="J27" i="40"/>
  <c r="N27" i="40" s="1"/>
  <c r="O27" i="40"/>
  <c r="J28" i="40"/>
  <c r="N28" i="40" s="1"/>
  <c r="O28" i="40"/>
  <c r="J29" i="40"/>
  <c r="L29" i="40" s="1"/>
  <c r="O29" i="40"/>
  <c r="J30" i="40"/>
  <c r="O30" i="40"/>
  <c r="J31" i="40"/>
  <c r="L31" i="40" s="1"/>
  <c r="O31" i="40"/>
  <c r="J32" i="40"/>
  <c r="L32" i="40" s="1"/>
  <c r="O32" i="40"/>
  <c r="L33" i="40"/>
  <c r="N33" i="40"/>
  <c r="O33" i="40"/>
  <c r="L34" i="40"/>
  <c r="N34" i="40"/>
  <c r="O34" i="40"/>
  <c r="L35" i="40"/>
  <c r="N35" i="40"/>
  <c r="O35" i="40"/>
  <c r="L36" i="40"/>
  <c r="I62" i="40" s="1"/>
  <c r="N36" i="40"/>
  <c r="O36" i="40"/>
  <c r="L37" i="40"/>
  <c r="O37" i="40"/>
  <c r="L38" i="40"/>
  <c r="N37" i="40" s="1"/>
  <c r="O38" i="40"/>
  <c r="H44" i="40"/>
  <c r="H45" i="40"/>
  <c r="H48" i="40"/>
  <c r="H49" i="40"/>
  <c r="H52" i="40"/>
  <c r="H56" i="40"/>
  <c r="H58" i="40"/>
  <c r="H62" i="40"/>
  <c r="H65" i="40"/>
  <c r="L8" i="38"/>
  <c r="N8" i="38"/>
  <c r="O8" i="38"/>
  <c r="L9" i="38"/>
  <c r="N9" i="38"/>
  <c r="O9" i="38"/>
  <c r="L10" i="38"/>
  <c r="N10" i="38"/>
  <c r="O10" i="38"/>
  <c r="J11" i="38"/>
  <c r="O11" i="38"/>
  <c r="J12" i="38"/>
  <c r="L12" i="38" s="1"/>
  <c r="O12" i="38"/>
  <c r="J13" i="38"/>
  <c r="N13" i="38" s="1"/>
  <c r="O13" i="38"/>
  <c r="J14" i="38"/>
  <c r="N14" i="38" s="1"/>
  <c r="O14" i="38"/>
  <c r="L15" i="38"/>
  <c r="N15" i="38"/>
  <c r="O15" i="38"/>
  <c r="L16" i="38"/>
  <c r="N16" i="38"/>
  <c r="O16" i="38"/>
  <c r="J17" i="38"/>
  <c r="N17" i="38" s="1"/>
  <c r="O17" i="38"/>
  <c r="J18" i="38"/>
  <c r="N18" i="38" s="1"/>
  <c r="O18" i="38"/>
  <c r="L19" i="38"/>
  <c r="N19" i="38"/>
  <c r="O19" i="38"/>
  <c r="L20" i="38"/>
  <c r="N20" i="38"/>
  <c r="O20" i="38"/>
  <c r="L21" i="38"/>
  <c r="N21" i="38"/>
  <c r="O21" i="38"/>
  <c r="J22" i="38"/>
  <c r="L22" i="38" s="1"/>
  <c r="O22" i="38"/>
  <c r="J23" i="38"/>
  <c r="N23" i="38" s="1"/>
  <c r="O23" i="38"/>
  <c r="J24" i="38"/>
  <c r="L24" i="38" s="1"/>
  <c r="O24" i="38"/>
  <c r="J25" i="38"/>
  <c r="N25" i="38" s="1"/>
  <c r="O25" i="38"/>
  <c r="J26" i="38"/>
  <c r="L26" i="38" s="1"/>
  <c r="O26" i="38"/>
  <c r="L27" i="38"/>
  <c r="N27" i="38"/>
  <c r="O27" i="38"/>
  <c r="J28" i="38"/>
  <c r="N28" i="38" s="1"/>
  <c r="O28" i="38"/>
  <c r="J29" i="38"/>
  <c r="N29" i="38" s="1"/>
  <c r="O29" i="38"/>
  <c r="L30" i="38"/>
  <c r="N30" i="38"/>
  <c r="O30" i="38"/>
  <c r="L31" i="38"/>
  <c r="N31" i="38"/>
  <c r="O31" i="38"/>
  <c r="L32" i="38"/>
  <c r="N32" i="38"/>
  <c r="O32" i="38"/>
  <c r="L33" i="38"/>
  <c r="N33" i="38"/>
  <c r="O33" i="38"/>
  <c r="L34" i="38"/>
  <c r="N34" i="38"/>
  <c r="O34" i="38"/>
  <c r="L35" i="38"/>
  <c r="N35" i="38"/>
  <c r="O35" i="38"/>
  <c r="L36" i="38"/>
  <c r="N36" i="38"/>
  <c r="O36" i="38"/>
  <c r="L37" i="38"/>
  <c r="N37" i="38"/>
  <c r="O37" i="38"/>
  <c r="L38" i="38"/>
  <c r="N38" i="38"/>
  <c r="O38" i="38"/>
  <c r="L39" i="38"/>
  <c r="N39" i="38"/>
  <c r="O39" i="38"/>
  <c r="L40" i="38"/>
  <c r="N40" i="38"/>
  <c r="O40" i="38"/>
  <c r="L41" i="38"/>
  <c r="N41" i="38"/>
  <c r="O41" i="38"/>
  <c r="L42" i="38"/>
  <c r="N42" i="38"/>
  <c r="O42" i="38"/>
  <c r="L43" i="38"/>
  <c r="N43" i="38"/>
  <c r="O43" i="38"/>
  <c r="L44" i="38"/>
  <c r="N44" i="38"/>
  <c r="O44" i="38"/>
  <c r="L45" i="38"/>
  <c r="N45" i="38"/>
  <c r="O45" i="38"/>
  <c r="L46" i="38"/>
  <c r="N46" i="38"/>
  <c r="O46" i="38"/>
  <c r="L47" i="38"/>
  <c r="N47" i="38"/>
  <c r="O47" i="38"/>
  <c r="L48" i="38"/>
  <c r="N48" i="38"/>
  <c r="O48" i="38"/>
  <c r="J49" i="38"/>
  <c r="N49" i="38" s="1"/>
  <c r="O49" i="38"/>
  <c r="J50" i="38"/>
  <c r="L50" i="38" s="1"/>
  <c r="O50" i="38"/>
  <c r="J51" i="38"/>
  <c r="L51" i="38" s="1"/>
  <c r="O51" i="38"/>
  <c r="J52" i="38"/>
  <c r="N52" i="38" s="1"/>
  <c r="O52" i="38"/>
  <c r="J53" i="38"/>
  <c r="N53" i="38" s="1"/>
  <c r="O53" i="38"/>
  <c r="J54" i="38"/>
  <c r="L54" i="38" s="1"/>
  <c r="O54" i="38"/>
  <c r="J55" i="38"/>
  <c r="N55" i="38" s="1"/>
  <c r="O55" i="38"/>
  <c r="J56" i="38"/>
  <c r="O56" i="38"/>
  <c r="J57" i="38"/>
  <c r="N57" i="38" s="1"/>
  <c r="O57" i="38"/>
  <c r="J58" i="38"/>
  <c r="L58" i="38" s="1"/>
  <c r="O58" i="38"/>
  <c r="J59" i="38"/>
  <c r="L59" i="38" s="1"/>
  <c r="O59" i="38"/>
  <c r="J60" i="38"/>
  <c r="O60" i="38"/>
  <c r="J61" i="38"/>
  <c r="N61" i="38" s="1"/>
  <c r="O61" i="38"/>
  <c r="J62" i="38"/>
  <c r="N62" i="38" s="1"/>
  <c r="O62" i="38"/>
  <c r="J63" i="38"/>
  <c r="N63" i="38" s="1"/>
  <c r="O63" i="38"/>
  <c r="L64" i="38"/>
  <c r="N64" i="38"/>
  <c r="O64" i="38"/>
  <c r="L65" i="38"/>
  <c r="N65" i="38"/>
  <c r="O65" i="38"/>
  <c r="L66" i="38"/>
  <c r="N66" i="38"/>
  <c r="O66" i="38"/>
  <c r="L67" i="38"/>
  <c r="N67" i="38"/>
  <c r="O67" i="38"/>
  <c r="L68" i="38"/>
  <c r="N68" i="38"/>
  <c r="O68" i="38"/>
  <c r="L69" i="38"/>
  <c r="N69" i="38"/>
  <c r="O69" i="38"/>
  <c r="L70" i="38"/>
  <c r="N70" i="38"/>
  <c r="O70" i="38"/>
  <c r="L71" i="38"/>
  <c r="N71" i="38"/>
  <c r="O71" i="38"/>
  <c r="L72" i="38"/>
  <c r="N72" i="38"/>
  <c r="O72" i="38"/>
  <c r="L73" i="38"/>
  <c r="N73" i="38"/>
  <c r="O73" i="38"/>
  <c r="L74" i="38"/>
  <c r="N74" i="38"/>
  <c r="O74" i="38"/>
  <c r="L75" i="38"/>
  <c r="N75" i="38"/>
  <c r="O75" i="38"/>
  <c r="L76" i="38"/>
  <c r="N76" i="38"/>
  <c r="O76" i="38"/>
  <c r="L77" i="38"/>
  <c r="N77" i="38"/>
  <c r="O77" i="38"/>
  <c r="L78" i="38"/>
  <c r="N78" i="38"/>
  <c r="O78" i="38"/>
  <c r="L79" i="38"/>
  <c r="N79" i="38"/>
  <c r="O79" i="38"/>
  <c r="L80" i="38"/>
  <c r="N80" i="38"/>
  <c r="O80" i="38"/>
  <c r="L81" i="38"/>
  <c r="N81" i="38"/>
  <c r="O81" i="38"/>
  <c r="L82" i="38"/>
  <c r="N82" i="38"/>
  <c r="O82" i="38"/>
  <c r="L83" i="38"/>
  <c r="N83" i="38"/>
  <c r="O83" i="38"/>
  <c r="L84" i="38"/>
  <c r="N84" i="38"/>
  <c r="O84" i="38"/>
  <c r="L85" i="38"/>
  <c r="N85" i="38"/>
  <c r="O85" i="38"/>
  <c r="L86" i="38"/>
  <c r="N86" i="38"/>
  <c r="O86" i="38"/>
  <c r="L87" i="38"/>
  <c r="N87" i="38"/>
  <c r="O87" i="38"/>
  <c r="L88" i="38"/>
  <c r="N88" i="38"/>
  <c r="O88" i="38"/>
  <c r="L89" i="38"/>
  <c r="N89" i="38"/>
  <c r="O89" i="38"/>
  <c r="L90" i="38"/>
  <c r="N90" i="38"/>
  <c r="O90" i="38"/>
  <c r="L91" i="38"/>
  <c r="N91" i="38"/>
  <c r="O91" i="38"/>
  <c r="L92" i="38"/>
  <c r="N92" i="38"/>
  <c r="O92" i="38"/>
  <c r="L93" i="38"/>
  <c r="N93" i="38"/>
  <c r="O93" i="38"/>
  <c r="L94" i="38"/>
  <c r="N94" i="38"/>
  <c r="O94" i="38"/>
  <c r="L95" i="38"/>
  <c r="N95" i="38"/>
  <c r="O95" i="38"/>
  <c r="L96" i="38"/>
  <c r="N96" i="38"/>
  <c r="O96" i="38"/>
  <c r="L97" i="38"/>
  <c r="N97" i="38"/>
  <c r="O97" i="38"/>
  <c r="L98" i="38"/>
  <c r="N98" i="38"/>
  <c r="O98" i="38"/>
  <c r="L99" i="38"/>
  <c r="N99" i="38"/>
  <c r="O99" i="38"/>
  <c r="L100" i="38"/>
  <c r="N100" i="38"/>
  <c r="O100" i="38"/>
  <c r="L101" i="38"/>
  <c r="N101" i="38"/>
  <c r="O101" i="38"/>
  <c r="L102" i="38"/>
  <c r="N102" i="38"/>
  <c r="O102" i="38"/>
  <c r="L103" i="38"/>
  <c r="N103" i="38"/>
  <c r="O103" i="38"/>
  <c r="L104" i="38"/>
  <c r="N104" i="38"/>
  <c r="O104" i="38"/>
  <c r="L105" i="38"/>
  <c r="N105" i="38"/>
  <c r="O105" i="38"/>
  <c r="L106" i="38"/>
  <c r="N106" i="38"/>
  <c r="O106" i="38"/>
  <c r="L107" i="38"/>
  <c r="N107" i="38"/>
  <c r="O107" i="38"/>
  <c r="L108" i="38"/>
  <c r="N108" i="38"/>
  <c r="O108" i="38"/>
  <c r="L109" i="38"/>
  <c r="N109" i="38"/>
  <c r="O109" i="38"/>
  <c r="L110" i="38"/>
  <c r="N110" i="38"/>
  <c r="O110" i="38"/>
  <c r="L111" i="38"/>
  <c r="N111" i="38"/>
  <c r="O111" i="38"/>
  <c r="L112" i="38"/>
  <c r="N112" i="38"/>
  <c r="O112" i="38"/>
  <c r="L113" i="38"/>
  <c r="N113" i="38"/>
  <c r="O113" i="38"/>
  <c r="L114" i="38"/>
  <c r="N114" i="38"/>
  <c r="O114" i="38"/>
  <c r="L115" i="38"/>
  <c r="N115" i="38"/>
  <c r="O115" i="38"/>
  <c r="L116" i="38"/>
  <c r="N116" i="38"/>
  <c r="O116" i="38"/>
  <c r="L117" i="38"/>
  <c r="N117" i="38"/>
  <c r="O117" i="38"/>
  <c r="L118" i="38"/>
  <c r="N118" i="38"/>
  <c r="O118" i="38"/>
  <c r="L119" i="38"/>
  <c r="N119" i="38"/>
  <c r="O119" i="38"/>
  <c r="L120" i="38"/>
  <c r="N120" i="38"/>
  <c r="O120" i="38"/>
  <c r="L121" i="38"/>
  <c r="N121" i="38"/>
  <c r="O121" i="38"/>
  <c r="L122" i="38"/>
  <c r="N122" i="38"/>
  <c r="O122" i="38"/>
  <c r="L123" i="38"/>
  <c r="N123" i="38"/>
  <c r="O123" i="38"/>
  <c r="L124" i="38"/>
  <c r="N124" i="38"/>
  <c r="O124" i="38"/>
  <c r="L125" i="38"/>
  <c r="N125" i="38"/>
  <c r="O125" i="38"/>
  <c r="L126" i="38"/>
  <c r="N126" i="38"/>
  <c r="O126" i="38"/>
  <c r="L127" i="38"/>
  <c r="N127" i="38"/>
  <c r="O127" i="38"/>
  <c r="L128" i="38"/>
  <c r="N128" i="38"/>
  <c r="O128" i="38"/>
  <c r="L129" i="38"/>
  <c r="N129" i="38"/>
  <c r="O129" i="38"/>
  <c r="L130" i="38"/>
  <c r="N130" i="38"/>
  <c r="O130" i="38"/>
  <c r="L131" i="38"/>
  <c r="N131" i="38"/>
  <c r="O131" i="38"/>
  <c r="L132" i="38"/>
  <c r="N132" i="38"/>
  <c r="O132" i="38"/>
  <c r="L133" i="38"/>
  <c r="N133" i="38"/>
  <c r="O133" i="38"/>
  <c r="L134" i="38"/>
  <c r="N134" i="38"/>
  <c r="O134" i="38"/>
  <c r="L135" i="38"/>
  <c r="N135" i="38"/>
  <c r="O135" i="38"/>
  <c r="L136" i="38"/>
  <c r="N136" i="38"/>
  <c r="O136" i="38"/>
  <c r="L137" i="38"/>
  <c r="N137" i="38"/>
  <c r="O137" i="38"/>
  <c r="L138" i="38"/>
  <c r="N138" i="38"/>
  <c r="O138" i="38"/>
  <c r="L139" i="38"/>
  <c r="N139" i="38"/>
  <c r="O139" i="38"/>
  <c r="L140" i="38"/>
  <c r="N140" i="38"/>
  <c r="O140" i="38"/>
  <c r="L141" i="38"/>
  <c r="N141" i="38"/>
  <c r="O141" i="38"/>
  <c r="L142" i="38"/>
  <c r="N142" i="38"/>
  <c r="O142" i="38"/>
  <c r="L143" i="38"/>
  <c r="N143" i="38"/>
  <c r="O143" i="38"/>
  <c r="L144" i="38"/>
  <c r="N144" i="38"/>
  <c r="O144" i="38"/>
  <c r="L145" i="38"/>
  <c r="N145" i="38"/>
  <c r="O145" i="38"/>
  <c r="J146" i="38"/>
  <c r="L146" i="38" s="1"/>
  <c r="O146" i="38"/>
  <c r="J147" i="38"/>
  <c r="L147" i="38" s="1"/>
  <c r="O147" i="38"/>
  <c r="J148" i="38"/>
  <c r="N148" i="38" s="1"/>
  <c r="O148" i="38"/>
  <c r="J149" i="38"/>
  <c r="N149" i="38" s="1"/>
  <c r="O149" i="38"/>
  <c r="J150" i="38"/>
  <c r="L150" i="38" s="1"/>
  <c r="O150" i="38"/>
  <c r="J151" i="38"/>
  <c r="L151" i="38" s="1"/>
  <c r="O151" i="38"/>
  <c r="J152" i="38"/>
  <c r="N152" i="38" s="1"/>
  <c r="O152" i="38"/>
  <c r="L153" i="38"/>
  <c r="N153" i="38"/>
  <c r="O153" i="38"/>
  <c r="L154" i="38"/>
  <c r="N154" i="38"/>
  <c r="O154" i="38"/>
  <c r="L155" i="38"/>
  <c r="N155" i="38"/>
  <c r="O155" i="38"/>
  <c r="L156" i="38"/>
  <c r="N156" i="38"/>
  <c r="O156" i="38"/>
  <c r="L157" i="38"/>
  <c r="N157" i="38"/>
  <c r="O157" i="38"/>
  <c r="L158" i="38"/>
  <c r="N158" i="38"/>
  <c r="O158" i="38"/>
  <c r="L159" i="38"/>
  <c r="N159" i="38"/>
  <c r="O159" i="38"/>
  <c r="J160" i="38"/>
  <c r="L160" i="38" s="1"/>
  <c r="O160" i="38"/>
  <c r="J161" i="38"/>
  <c r="N161" i="38" s="1"/>
  <c r="O161" i="38"/>
  <c r="J162" i="38"/>
  <c r="N162" i="38" s="1"/>
  <c r="O162" i="38"/>
  <c r="L163" i="38"/>
  <c r="N163" i="38"/>
  <c r="O163" i="38"/>
  <c r="J164" i="38"/>
  <c r="N164" i="38" s="1"/>
  <c r="O164" i="38"/>
  <c r="J165" i="38"/>
  <c r="N165" i="38" s="1"/>
  <c r="O165" i="38"/>
  <c r="J166" i="38"/>
  <c r="N166" i="38" s="1"/>
  <c r="O166" i="38"/>
  <c r="J167" i="38"/>
  <c r="L167" i="38" s="1"/>
  <c r="O167" i="38"/>
  <c r="J168" i="38"/>
  <c r="N168" i="38" s="1"/>
  <c r="O168" i="38"/>
  <c r="L169" i="38"/>
  <c r="N169" i="38"/>
  <c r="O169" i="38"/>
  <c r="L170" i="38"/>
  <c r="N170" i="38"/>
  <c r="O170" i="38"/>
  <c r="J171" i="38"/>
  <c r="L171" i="38" s="1"/>
  <c r="O171" i="38"/>
  <c r="J172" i="38"/>
  <c r="O172" i="38"/>
  <c r="J173" i="38"/>
  <c r="N173" i="38" s="1"/>
  <c r="O173" i="38"/>
  <c r="J174" i="38"/>
  <c r="N174" i="38" s="1"/>
  <c r="O174" i="38"/>
  <c r="J175" i="38"/>
  <c r="L175" i="38" s="1"/>
  <c r="O175" i="38"/>
  <c r="J176" i="38"/>
  <c r="N176" i="38" s="1"/>
  <c r="O176" i="38"/>
  <c r="J177" i="38"/>
  <c r="N177" i="38" s="1"/>
  <c r="O177" i="38"/>
  <c r="J178" i="38"/>
  <c r="L178" i="38" s="1"/>
  <c r="O178" i="38"/>
  <c r="J179" i="38"/>
  <c r="L179" i="38" s="1"/>
  <c r="O179" i="38"/>
  <c r="J180" i="38"/>
  <c r="L180" i="38" s="1"/>
  <c r="O180" i="38"/>
  <c r="J181" i="38"/>
  <c r="N181" i="38" s="1"/>
  <c r="O181" i="38"/>
  <c r="J182" i="38"/>
  <c r="L182" i="38" s="1"/>
  <c r="O182" i="38"/>
  <c r="J183" i="38"/>
  <c r="L183" i="38" s="1"/>
  <c r="O183" i="38"/>
  <c r="J184" i="38"/>
  <c r="O184" i="38"/>
  <c r="J185" i="38"/>
  <c r="L185" i="38" s="1"/>
  <c r="O185" i="38"/>
  <c r="J186" i="38"/>
  <c r="L186" i="38" s="1"/>
  <c r="O186" i="38"/>
  <c r="J187" i="38"/>
  <c r="L187" i="38" s="1"/>
  <c r="O187" i="38"/>
  <c r="J188" i="38"/>
  <c r="N188" i="38" s="1"/>
  <c r="O188" i="38"/>
  <c r="J189" i="38"/>
  <c r="L189" i="38" s="1"/>
  <c r="O189" i="38"/>
  <c r="J190" i="38"/>
  <c r="L190" i="38" s="1"/>
  <c r="O190" i="38"/>
  <c r="J191" i="38"/>
  <c r="N191" i="38" s="1"/>
  <c r="O191" i="38"/>
  <c r="J192" i="38"/>
  <c r="N192" i="38" s="1"/>
  <c r="O192" i="38"/>
  <c r="J193" i="38"/>
  <c r="N193" i="38" s="1"/>
  <c r="O193" i="38"/>
  <c r="J194" i="38"/>
  <c r="O194" i="38"/>
  <c r="J195" i="38"/>
  <c r="L195" i="38" s="1"/>
  <c r="O195" i="38"/>
  <c r="J196" i="38"/>
  <c r="L196" i="38" s="1"/>
  <c r="O196" i="38"/>
  <c r="J197" i="38"/>
  <c r="L197" i="38" s="1"/>
  <c r="O197" i="38"/>
  <c r="J198" i="38"/>
  <c r="L198" i="38" s="1"/>
  <c r="O198" i="38"/>
  <c r="J199" i="38"/>
  <c r="N199" i="38" s="1"/>
  <c r="O199" i="38"/>
  <c r="J200" i="38"/>
  <c r="O200" i="38"/>
  <c r="J201" i="38"/>
  <c r="N201" i="38" s="1"/>
  <c r="O201" i="38"/>
  <c r="J202" i="38"/>
  <c r="N202" i="38" s="1"/>
  <c r="O202" i="38"/>
  <c r="J203" i="38"/>
  <c r="L203" i="38" s="1"/>
  <c r="O203" i="38"/>
  <c r="J204" i="38"/>
  <c r="L204" i="38" s="1"/>
  <c r="O204" i="38"/>
  <c r="L205" i="38"/>
  <c r="N205" i="38"/>
  <c r="O205" i="38"/>
  <c r="L206" i="38"/>
  <c r="N206" i="38"/>
  <c r="O206" i="38"/>
  <c r="L207" i="38"/>
  <c r="N207" i="38"/>
  <c r="O207" i="38"/>
  <c r="L208" i="38"/>
  <c r="N208" i="38"/>
  <c r="O208" i="38"/>
  <c r="L209" i="38"/>
  <c r="N209" i="38"/>
  <c r="O209" i="38"/>
  <c r="L210" i="38"/>
  <c r="N210" i="38"/>
  <c r="O210" i="38"/>
  <c r="L211" i="38"/>
  <c r="N211" i="38"/>
  <c r="O211" i="38"/>
  <c r="L212" i="38"/>
  <c r="N212" i="38"/>
  <c r="O212" i="38"/>
  <c r="L213" i="38"/>
  <c r="N213" i="38"/>
  <c r="O213" i="38"/>
  <c r="L214" i="38"/>
  <c r="N214" i="38"/>
  <c r="O214" i="38"/>
  <c r="J215" i="38"/>
  <c r="L215" i="38" s="1"/>
  <c r="O215" i="38"/>
  <c r="J216" i="38"/>
  <c r="N216" i="38" s="1"/>
  <c r="O216" i="38"/>
  <c r="J217" i="38"/>
  <c r="N217" i="38" s="1"/>
  <c r="O217" i="38"/>
  <c r="J218" i="38"/>
  <c r="N218" i="38" s="1"/>
  <c r="O218" i="38"/>
  <c r="L219" i="38"/>
  <c r="N219" i="38"/>
  <c r="O219" i="38"/>
  <c r="J220" i="38"/>
  <c r="N220" i="38" s="1"/>
  <c r="O220" i="38"/>
  <c r="J221" i="38"/>
  <c r="N221" i="38" s="1"/>
  <c r="O221" i="38"/>
  <c r="L222" i="38"/>
  <c r="N222" i="38"/>
  <c r="O222" i="38"/>
  <c r="L223" i="38"/>
  <c r="N223" i="38"/>
  <c r="O223" i="38"/>
  <c r="L224" i="38"/>
  <c r="N224" i="38"/>
  <c r="O224" i="38"/>
  <c r="L225" i="38"/>
  <c r="N225" i="38"/>
  <c r="O225" i="38"/>
  <c r="L226" i="38"/>
  <c r="N226" i="38"/>
  <c r="O226" i="38"/>
  <c r="L227" i="38"/>
  <c r="N227" i="38"/>
  <c r="O227" i="38"/>
  <c r="L228" i="38"/>
  <c r="N228" i="38"/>
  <c r="O228" i="38"/>
  <c r="L229" i="38"/>
  <c r="N229" i="38"/>
  <c r="O229" i="38"/>
  <c r="L230" i="38"/>
  <c r="N230" i="38"/>
  <c r="O230" i="38"/>
  <c r="L231" i="38"/>
  <c r="N231" i="38"/>
  <c r="O231" i="38"/>
  <c r="L232" i="38"/>
  <c r="N232" i="38"/>
  <c r="O232" i="38"/>
  <c r="L233" i="38"/>
  <c r="N233" i="38"/>
  <c r="O233" i="38"/>
  <c r="L234" i="38"/>
  <c r="N234" i="38"/>
  <c r="O234" i="38"/>
  <c r="L235" i="38"/>
  <c r="N235" i="38"/>
  <c r="O235" i="38"/>
  <c r="J236" i="38"/>
  <c r="L236" i="38" s="1"/>
  <c r="O236" i="38"/>
  <c r="J237" i="38"/>
  <c r="N237" i="38" s="1"/>
  <c r="O237" i="38"/>
  <c r="J238" i="38"/>
  <c r="L238" i="38" s="1"/>
  <c r="O238" i="38"/>
  <c r="J239" i="38"/>
  <c r="N239" i="38" s="1"/>
  <c r="O239" i="38"/>
  <c r="J240" i="38"/>
  <c r="L240" i="38" s="1"/>
  <c r="O240" i="38"/>
  <c r="J241" i="38"/>
  <c r="L241" i="38" s="1"/>
  <c r="O241" i="38"/>
  <c r="J242" i="38"/>
  <c r="L242" i="38" s="1"/>
  <c r="O242" i="38"/>
  <c r="J243" i="38"/>
  <c r="N243" i="38" s="1"/>
  <c r="O243" i="38"/>
  <c r="J244" i="38"/>
  <c r="L244" i="38" s="1"/>
  <c r="O244" i="38"/>
  <c r="L245" i="38"/>
  <c r="N245" i="38"/>
  <c r="O245" i="38"/>
  <c r="L246" i="38"/>
  <c r="N246" i="38"/>
  <c r="O246" i="38"/>
  <c r="L247" i="38"/>
  <c r="N247" i="38"/>
  <c r="O247" i="38"/>
  <c r="L248" i="38"/>
  <c r="N248" i="38"/>
  <c r="O248" i="38"/>
  <c r="L249" i="38"/>
  <c r="N249" i="38"/>
  <c r="O249" i="38"/>
  <c r="L250" i="38"/>
  <c r="N250" i="38"/>
  <c r="O250" i="38"/>
  <c r="L251" i="38"/>
  <c r="N251" i="38"/>
  <c r="O251" i="38"/>
  <c r="L252" i="38"/>
  <c r="N252" i="38"/>
  <c r="O252" i="38"/>
  <c r="L253" i="38"/>
  <c r="N253" i="38"/>
  <c r="O253" i="38"/>
  <c r="L254" i="38"/>
  <c r="N254" i="38"/>
  <c r="O254" i="38"/>
  <c r="L255" i="38"/>
  <c r="N255" i="38"/>
  <c r="O255" i="38"/>
  <c r="J256" i="38"/>
  <c r="N256" i="38" s="1"/>
  <c r="O256" i="38"/>
  <c r="J257" i="38"/>
  <c r="N257" i="38" s="1"/>
  <c r="O257" i="38"/>
  <c r="L258" i="38"/>
  <c r="N258" i="38"/>
  <c r="O258" i="38"/>
  <c r="L259" i="38"/>
  <c r="N259" i="38"/>
  <c r="O259" i="38"/>
  <c r="L260" i="38"/>
  <c r="N260" i="38"/>
  <c r="O260" i="38"/>
  <c r="L261" i="38"/>
  <c r="N261" i="38"/>
  <c r="O261" i="38"/>
  <c r="L262" i="38"/>
  <c r="N262" i="38"/>
  <c r="O262" i="38"/>
  <c r="L263" i="38"/>
  <c r="N263" i="38"/>
  <c r="O263" i="38"/>
  <c r="L264" i="38"/>
  <c r="N264" i="38"/>
  <c r="O264" i="38"/>
  <c r="L265" i="38"/>
  <c r="N265" i="38"/>
  <c r="O265" i="38"/>
  <c r="L266" i="38"/>
  <c r="N266" i="38"/>
  <c r="O266" i="38"/>
  <c r="J267" i="38"/>
  <c r="L267" i="38" s="1"/>
  <c r="O267" i="38"/>
  <c r="J268" i="38"/>
  <c r="L268" i="38" s="1"/>
  <c r="O268" i="38"/>
  <c r="J269" i="38"/>
  <c r="L269" i="38" s="1"/>
  <c r="O269" i="38"/>
  <c r="L270" i="38"/>
  <c r="N270" i="38"/>
  <c r="O270" i="38"/>
  <c r="L271" i="38"/>
  <c r="N271" i="38"/>
  <c r="O271" i="38"/>
  <c r="L272" i="38"/>
  <c r="N272" i="38"/>
  <c r="O272" i="38"/>
  <c r="L273" i="38"/>
  <c r="N273" i="38"/>
  <c r="O273" i="38"/>
  <c r="J274" i="38"/>
  <c r="O274" i="38"/>
  <c r="J275" i="38"/>
  <c r="L275" i="38" s="1"/>
  <c r="O275" i="38"/>
  <c r="L276" i="38"/>
  <c r="N276" i="38"/>
  <c r="O276" i="38"/>
  <c r="L277" i="38"/>
  <c r="N277" i="38"/>
  <c r="O277" i="38"/>
  <c r="L278" i="38"/>
  <c r="N278" i="38"/>
  <c r="O278" i="38"/>
  <c r="L279" i="38"/>
  <c r="N279" i="38"/>
  <c r="O279" i="38"/>
  <c r="L280" i="38"/>
  <c r="N280" i="38"/>
  <c r="O280" i="38"/>
  <c r="L281" i="38"/>
  <c r="N281" i="38"/>
  <c r="O281" i="38"/>
  <c r="L282" i="38"/>
  <c r="N282" i="38"/>
  <c r="O282" i="38"/>
  <c r="L283" i="38"/>
  <c r="N283" i="38"/>
  <c r="O283" i="38"/>
  <c r="L284" i="38"/>
  <c r="N284" i="38"/>
  <c r="O284" i="38"/>
  <c r="L285" i="38"/>
  <c r="N285" i="38"/>
  <c r="O285" i="38"/>
  <c r="L286" i="38"/>
  <c r="N286" i="38"/>
  <c r="O286" i="38"/>
  <c r="L287" i="38"/>
  <c r="N287" i="38"/>
  <c r="O287" i="38"/>
  <c r="L288" i="38"/>
  <c r="N288" i="38"/>
  <c r="O288" i="38"/>
  <c r="L289" i="38"/>
  <c r="N289" i="38"/>
  <c r="O289" i="38"/>
  <c r="L290" i="38"/>
  <c r="N290" i="38"/>
  <c r="O290" i="38"/>
  <c r="L291" i="38"/>
  <c r="N291" i="38"/>
  <c r="O291" i="38"/>
  <c r="L292" i="38"/>
  <c r="N292" i="38"/>
  <c r="O292" i="38"/>
  <c r="L293" i="38"/>
  <c r="N293" i="38"/>
  <c r="O293" i="38"/>
  <c r="L294" i="38"/>
  <c r="N294" i="38"/>
  <c r="O294" i="38"/>
  <c r="L295" i="38"/>
  <c r="N295" i="38"/>
  <c r="O295" i="38"/>
  <c r="L296" i="38"/>
  <c r="N296" i="38"/>
  <c r="O296" i="38"/>
  <c r="L297" i="38"/>
  <c r="N297" i="38"/>
  <c r="O297" i="38"/>
  <c r="L298" i="38"/>
  <c r="N298" i="38"/>
  <c r="O298" i="38"/>
  <c r="J299" i="38"/>
  <c r="N299" i="38" s="1"/>
  <c r="O299" i="38"/>
  <c r="J300" i="38"/>
  <c r="O300" i="38"/>
  <c r="J301" i="38"/>
  <c r="N301" i="38" s="1"/>
  <c r="O301" i="38"/>
  <c r="J302" i="38"/>
  <c r="O302" i="38"/>
  <c r="J303" i="38"/>
  <c r="L303" i="38" s="1"/>
  <c r="O303" i="38"/>
  <c r="J304" i="38"/>
  <c r="L304" i="38" s="1"/>
  <c r="O304" i="38"/>
  <c r="J305" i="38"/>
  <c r="L305" i="38" s="1"/>
  <c r="O305" i="38"/>
  <c r="J306" i="38"/>
  <c r="L306" i="38" s="1"/>
  <c r="O306" i="38"/>
  <c r="L307" i="38"/>
  <c r="N307" i="38"/>
  <c r="O307" i="38"/>
  <c r="L308" i="38"/>
  <c r="N308" i="38"/>
  <c r="O308" i="38"/>
  <c r="L309" i="38"/>
  <c r="N309" i="38"/>
  <c r="O309" i="38"/>
  <c r="J310" i="38"/>
  <c r="N310" i="38" s="1"/>
  <c r="O310" i="38"/>
  <c r="J311" i="38"/>
  <c r="L311" i="38" s="1"/>
  <c r="O311" i="38"/>
  <c r="J312" i="38"/>
  <c r="N312" i="38" s="1"/>
  <c r="O312" i="38"/>
  <c r="J313" i="38"/>
  <c r="N313" i="38" s="1"/>
  <c r="O313" i="38"/>
  <c r="L314" i="38"/>
  <c r="N314" i="38"/>
  <c r="O314" i="38"/>
  <c r="L315" i="38"/>
  <c r="N315" i="38"/>
  <c r="O315" i="38"/>
  <c r="L316" i="38"/>
  <c r="N316" i="38"/>
  <c r="O316" i="38"/>
  <c r="L317" i="38"/>
  <c r="N317" i="38"/>
  <c r="O317" i="38"/>
  <c r="L318" i="38"/>
  <c r="N318" i="38"/>
  <c r="O318" i="38"/>
  <c r="L319" i="38"/>
  <c r="N319" i="38"/>
  <c r="O319" i="38"/>
  <c r="L320" i="38"/>
  <c r="N320" i="38"/>
  <c r="O320" i="38"/>
  <c r="L321" i="38"/>
  <c r="N321" i="38"/>
  <c r="O321" i="38"/>
  <c r="L322" i="38"/>
  <c r="N322" i="38"/>
  <c r="O322" i="38"/>
  <c r="L323" i="38"/>
  <c r="N323" i="38"/>
  <c r="O323" i="38"/>
  <c r="L324" i="38"/>
  <c r="N324" i="38"/>
  <c r="O324" i="38"/>
  <c r="L325" i="38"/>
  <c r="N325" i="38"/>
  <c r="O325" i="38"/>
  <c r="L326" i="38"/>
  <c r="N326" i="38"/>
  <c r="O326" i="38"/>
  <c r="J327" i="38"/>
  <c r="L327" i="38" s="1"/>
  <c r="O327" i="38"/>
  <c r="J328" i="38"/>
  <c r="L328" i="38" s="1"/>
  <c r="O328" i="38"/>
  <c r="J329" i="38"/>
  <c r="L329" i="38" s="1"/>
  <c r="O329" i="38"/>
  <c r="J330" i="38"/>
  <c r="L330" i="38" s="1"/>
  <c r="O330" i="38"/>
  <c r="J331" i="38"/>
  <c r="N331" i="38" s="1"/>
  <c r="O331" i="38"/>
  <c r="J332" i="38"/>
  <c r="O332" i="38"/>
  <c r="J333" i="38"/>
  <c r="O333" i="38"/>
  <c r="J334" i="38"/>
  <c r="N334" i="38" s="1"/>
  <c r="O334" i="38"/>
  <c r="J335" i="38"/>
  <c r="N335" i="38" s="1"/>
  <c r="O335" i="38"/>
  <c r="J336" i="38"/>
  <c r="N336" i="38" s="1"/>
  <c r="O336" i="38"/>
  <c r="J337" i="38"/>
  <c r="L337" i="38" s="1"/>
  <c r="O337" i="38"/>
  <c r="J338" i="38"/>
  <c r="N338" i="38" s="1"/>
  <c r="O338" i="38"/>
  <c r="J339" i="38"/>
  <c r="O339" i="38"/>
  <c r="J340" i="38"/>
  <c r="N340" i="38" s="1"/>
  <c r="O340" i="38"/>
  <c r="J341" i="38"/>
  <c r="L341" i="38" s="1"/>
  <c r="O341" i="38"/>
  <c r="J342" i="38"/>
  <c r="L342" i="38" s="1"/>
  <c r="O342" i="38"/>
  <c r="J343" i="38"/>
  <c r="L343" i="38" s="1"/>
  <c r="O343" i="38"/>
  <c r="J344" i="38"/>
  <c r="O344" i="38"/>
  <c r="J345" i="38"/>
  <c r="L345" i="38" s="1"/>
  <c r="O345" i="38"/>
  <c r="J346" i="38"/>
  <c r="N346" i="38" s="1"/>
  <c r="O346" i="38"/>
  <c r="J347" i="38"/>
  <c r="N347" i="38" s="1"/>
  <c r="O347" i="38"/>
  <c r="J348" i="38"/>
  <c r="N348" i="38" s="1"/>
  <c r="O348" i="38"/>
  <c r="J349" i="38"/>
  <c r="N349" i="38" s="1"/>
  <c r="O349" i="38"/>
  <c r="J350" i="38"/>
  <c r="L350" i="38" s="1"/>
  <c r="O350" i="38"/>
  <c r="J351" i="38"/>
  <c r="L351" i="38" s="1"/>
  <c r="O351" i="38"/>
  <c r="J352" i="38"/>
  <c r="L352" i="38" s="1"/>
  <c r="O352" i="38"/>
  <c r="J353" i="38"/>
  <c r="L353" i="38" s="1"/>
  <c r="O353" i="38"/>
  <c r="J354" i="38"/>
  <c r="N354" i="38" s="1"/>
  <c r="O354" i="38"/>
  <c r="J355" i="38"/>
  <c r="N355" i="38" s="1"/>
  <c r="O355" i="38"/>
  <c r="L356" i="38"/>
  <c r="N356" i="38"/>
  <c r="O356" i="38"/>
  <c r="L357" i="38"/>
  <c r="N357" i="38"/>
  <c r="O357" i="38"/>
  <c r="L358" i="38"/>
  <c r="N358" i="38"/>
  <c r="O358" i="38"/>
  <c r="L359" i="38"/>
  <c r="N359" i="38"/>
  <c r="O359" i="38"/>
  <c r="K360" i="38"/>
  <c r="L360" i="38" s="1"/>
  <c r="N360" i="38"/>
  <c r="O360" i="38"/>
  <c r="L361" i="38"/>
  <c r="N361" i="38"/>
  <c r="O361" i="38"/>
  <c r="L362" i="38"/>
  <c r="N362" i="38"/>
  <c r="O362" i="38"/>
  <c r="L363" i="38"/>
  <c r="N363" i="38"/>
  <c r="O363" i="38"/>
  <c r="L364" i="38"/>
  <c r="N364" i="38"/>
  <c r="O364" i="38"/>
  <c r="L365" i="38"/>
  <c r="N365" i="38"/>
  <c r="O365" i="38"/>
  <c r="L366" i="38"/>
  <c r="N366" i="38"/>
  <c r="O366" i="38"/>
  <c r="L367" i="38"/>
  <c r="N367" i="38"/>
  <c r="O367" i="38"/>
  <c r="L368" i="38"/>
  <c r="N368" i="38"/>
  <c r="O368" i="38"/>
  <c r="L369" i="38"/>
  <c r="N369" i="38"/>
  <c r="O369" i="38"/>
  <c r="L370" i="38"/>
  <c r="N370" i="38"/>
  <c r="O370" i="38"/>
  <c r="L371" i="38"/>
  <c r="N371" i="38"/>
  <c r="O371" i="38"/>
  <c r="L372" i="38"/>
  <c r="N372" i="38"/>
  <c r="O372" i="38"/>
  <c r="L373" i="38"/>
  <c r="N373" i="38"/>
  <c r="O373" i="38"/>
  <c r="L374" i="38"/>
  <c r="N374" i="38"/>
  <c r="O374" i="38"/>
  <c r="L375" i="38"/>
  <c r="N375" i="38"/>
  <c r="O375" i="38"/>
  <c r="L376" i="38"/>
  <c r="N376" i="38"/>
  <c r="O376" i="38"/>
  <c r="L377" i="38"/>
  <c r="N377" i="38"/>
  <c r="O377" i="38"/>
  <c r="L378" i="38"/>
  <c r="N378" i="38"/>
  <c r="O378" i="38"/>
  <c r="L379" i="38"/>
  <c r="N379" i="38"/>
  <c r="O379" i="38"/>
  <c r="L380" i="38"/>
  <c r="N380" i="38"/>
  <c r="O380" i="38"/>
  <c r="L381" i="38"/>
  <c r="N381" i="38"/>
  <c r="O381" i="38"/>
  <c r="L382" i="38"/>
  <c r="N382" i="38"/>
  <c r="O382" i="38"/>
  <c r="L383" i="38"/>
  <c r="N383" i="38"/>
  <c r="O383" i="38"/>
  <c r="L384" i="38"/>
  <c r="N384" i="38"/>
  <c r="O384" i="38"/>
  <c r="L385" i="38"/>
  <c r="N385" i="38"/>
  <c r="O385" i="38"/>
  <c r="L386" i="38"/>
  <c r="N386" i="38"/>
  <c r="O386" i="38"/>
  <c r="L387" i="38"/>
  <c r="N387" i="38"/>
  <c r="O387" i="38"/>
  <c r="L388" i="38"/>
  <c r="N388" i="38"/>
  <c r="O388" i="38"/>
  <c r="L389" i="38"/>
  <c r="N389" i="38"/>
  <c r="O389" i="38"/>
  <c r="L390" i="38"/>
  <c r="N390" i="38"/>
  <c r="O390" i="38"/>
  <c r="L391" i="38"/>
  <c r="N391" i="38"/>
  <c r="O391" i="38"/>
  <c r="L392" i="38"/>
  <c r="N392" i="38"/>
  <c r="O392" i="38"/>
  <c r="L393" i="38"/>
  <c r="N393" i="38"/>
  <c r="O393" i="38"/>
  <c r="L394" i="38"/>
  <c r="N394" i="38"/>
  <c r="O394" i="38"/>
  <c r="L395" i="38"/>
  <c r="N395" i="38"/>
  <c r="O395" i="38"/>
  <c r="L396" i="38"/>
  <c r="N396" i="38"/>
  <c r="O396" i="38"/>
  <c r="L397" i="38"/>
  <c r="N397" i="38"/>
  <c r="O397" i="38"/>
  <c r="L398" i="38"/>
  <c r="N398" i="38"/>
  <c r="O398" i="38"/>
  <c r="L399" i="38"/>
  <c r="N399" i="38"/>
  <c r="O399" i="38"/>
  <c r="L400" i="38"/>
  <c r="N400" i="38"/>
  <c r="O400" i="38"/>
  <c r="L401" i="38"/>
  <c r="N401" i="38"/>
  <c r="O401" i="38"/>
  <c r="L402" i="38"/>
  <c r="N402" i="38"/>
  <c r="O402" i="38"/>
  <c r="L403" i="38"/>
  <c r="N403" i="38"/>
  <c r="O403" i="38"/>
  <c r="L404" i="38"/>
  <c r="N404" i="38"/>
  <c r="O404" i="38"/>
  <c r="L405" i="38"/>
  <c r="N405" i="38"/>
  <c r="O405" i="38"/>
  <c r="L406" i="38"/>
  <c r="N406" i="38"/>
  <c r="O406" i="38"/>
  <c r="L407" i="38"/>
  <c r="N407" i="38"/>
  <c r="O407" i="38"/>
  <c r="L408" i="38"/>
  <c r="N408" i="38"/>
  <c r="O408" i="38"/>
  <c r="L409" i="38"/>
  <c r="N409" i="38"/>
  <c r="O409" i="38"/>
  <c r="L410" i="38"/>
  <c r="N410" i="38"/>
  <c r="O410" i="38"/>
  <c r="L411" i="38"/>
  <c r="N411" i="38"/>
  <c r="O411" i="38"/>
  <c r="L412" i="38"/>
  <c r="N412" i="38"/>
  <c r="O412" i="38"/>
  <c r="L413" i="38"/>
  <c r="N413" i="38"/>
  <c r="O413" i="38"/>
  <c r="L414" i="38"/>
  <c r="N414" i="38"/>
  <c r="O414" i="38"/>
  <c r="L415" i="38"/>
  <c r="N415" i="38"/>
  <c r="O415" i="38"/>
  <c r="L416" i="38"/>
  <c r="N416" i="38"/>
  <c r="O416" i="38"/>
  <c r="L417" i="38"/>
  <c r="N417" i="38"/>
  <c r="O417" i="38"/>
  <c r="L418" i="38"/>
  <c r="N418" i="38"/>
  <c r="O418" i="38"/>
  <c r="L419" i="38"/>
  <c r="N419" i="38"/>
  <c r="O419" i="38"/>
  <c r="L420" i="38"/>
  <c r="N420" i="38"/>
  <c r="O420" i="38"/>
  <c r="L421" i="38"/>
  <c r="N421" i="38"/>
  <c r="O421" i="38"/>
  <c r="L422" i="38"/>
  <c r="N422" i="38"/>
  <c r="O422" i="38"/>
  <c r="L423" i="38"/>
  <c r="N423" i="38"/>
  <c r="O423" i="38"/>
  <c r="L424" i="38"/>
  <c r="N424" i="38"/>
  <c r="O424" i="38"/>
  <c r="L425" i="38"/>
  <c r="N425" i="38"/>
  <c r="O425" i="38"/>
  <c r="L426" i="38"/>
  <c r="N426" i="38"/>
  <c r="O426" i="38"/>
  <c r="L427" i="38"/>
  <c r="N427" i="38"/>
  <c r="O427" i="38"/>
  <c r="L428" i="38"/>
  <c r="N428" i="38"/>
  <c r="O428" i="38"/>
  <c r="L429" i="38"/>
  <c r="N429" i="38"/>
  <c r="O429" i="38"/>
  <c r="L430" i="38"/>
  <c r="N430" i="38"/>
  <c r="O430" i="38"/>
  <c r="L431" i="38"/>
  <c r="N431" i="38"/>
  <c r="O431" i="38"/>
  <c r="L432" i="38"/>
  <c r="N432" i="38"/>
  <c r="O432" i="38"/>
  <c r="L433" i="38"/>
  <c r="N433" i="38"/>
  <c r="O433" i="38"/>
  <c r="L434" i="38"/>
  <c r="N434" i="38"/>
  <c r="O434" i="38"/>
  <c r="L435" i="38"/>
  <c r="N435" i="38"/>
  <c r="O435" i="38"/>
  <c r="L436" i="38"/>
  <c r="N436" i="38"/>
  <c r="O436" i="38"/>
  <c r="L437" i="38"/>
  <c r="N437" i="38"/>
  <c r="O437" i="38"/>
  <c r="L438" i="38"/>
  <c r="N438" i="38"/>
  <c r="O438" i="38"/>
  <c r="L439" i="38"/>
  <c r="N439" i="38"/>
  <c r="O439" i="38"/>
  <c r="L440" i="38"/>
  <c r="N440" i="38"/>
  <c r="O440" i="38"/>
  <c r="L441" i="38"/>
  <c r="N441" i="38"/>
  <c r="O441" i="38"/>
  <c r="L442" i="38"/>
  <c r="N442" i="38"/>
  <c r="O442" i="38"/>
  <c r="L443" i="38"/>
  <c r="N443" i="38"/>
  <c r="O443" i="38"/>
  <c r="L444" i="38"/>
  <c r="N444" i="38"/>
  <c r="O444" i="38"/>
  <c r="L445" i="38"/>
  <c r="N445" i="38"/>
  <c r="O445" i="38"/>
  <c r="L446" i="38"/>
  <c r="N446" i="38"/>
  <c r="O446" i="38"/>
  <c r="L447" i="38"/>
  <c r="N447" i="38"/>
  <c r="O447" i="38"/>
  <c r="L448" i="38"/>
  <c r="N448" i="38"/>
  <c r="O448" i="38"/>
  <c r="L449" i="38"/>
  <c r="N449" i="38"/>
  <c r="O449" i="38"/>
  <c r="L450" i="38"/>
  <c r="N450" i="38"/>
  <c r="O450" i="38"/>
  <c r="L451" i="38"/>
  <c r="N451" i="38"/>
  <c r="O451" i="38"/>
  <c r="L452" i="38"/>
  <c r="N452" i="38"/>
  <c r="O452" i="38"/>
  <c r="L453" i="38"/>
  <c r="N453" i="38"/>
  <c r="O453" i="38"/>
  <c r="L454" i="38"/>
  <c r="N454" i="38"/>
  <c r="O454" i="38"/>
  <c r="L455" i="38"/>
  <c r="N455" i="38"/>
  <c r="O455" i="38"/>
  <c r="L456" i="38"/>
  <c r="N456" i="38"/>
  <c r="O456" i="38"/>
  <c r="L457" i="38"/>
  <c r="N457" i="38"/>
  <c r="O457" i="38"/>
  <c r="L458" i="38"/>
  <c r="N458" i="38"/>
  <c r="O458" i="38"/>
  <c r="L459" i="38"/>
  <c r="N459" i="38"/>
  <c r="O459" i="38"/>
  <c r="L460" i="38"/>
  <c r="N460" i="38"/>
  <c r="O460" i="38"/>
  <c r="L461" i="38"/>
  <c r="N461" i="38"/>
  <c r="O461" i="38"/>
  <c r="L462" i="38"/>
  <c r="N462" i="38"/>
  <c r="O462" i="38"/>
  <c r="L463" i="38"/>
  <c r="N463" i="38"/>
  <c r="O463" i="38"/>
  <c r="L464" i="38"/>
  <c r="N464" i="38"/>
  <c r="O464" i="38"/>
  <c r="L465" i="38"/>
  <c r="N465" i="38"/>
  <c r="O465" i="38"/>
  <c r="L466" i="38"/>
  <c r="O466" i="38"/>
  <c r="L467" i="38"/>
  <c r="O467" i="38"/>
  <c r="L468" i="38"/>
  <c r="N468" i="38"/>
  <c r="O468" i="38"/>
  <c r="L469" i="38"/>
  <c r="N469" i="38"/>
  <c r="O469" i="38"/>
  <c r="L470" i="38"/>
  <c r="N470" i="38"/>
  <c r="O470" i="38"/>
  <c r="L471" i="38"/>
  <c r="N471" i="38"/>
  <c r="O471" i="38"/>
  <c r="L472" i="38"/>
  <c r="N472" i="38"/>
  <c r="O472" i="38"/>
  <c r="L473" i="38"/>
  <c r="N473" i="38"/>
  <c r="O473" i="38"/>
  <c r="L474" i="38"/>
  <c r="N474" i="38"/>
  <c r="O474" i="38"/>
  <c r="L475" i="38"/>
  <c r="N475" i="38"/>
  <c r="O475" i="38"/>
  <c r="L476" i="38"/>
  <c r="N476" i="38"/>
  <c r="O476" i="38"/>
  <c r="L477" i="38"/>
  <c r="N477" i="38"/>
  <c r="O477" i="38"/>
  <c r="L478" i="38"/>
  <c r="N478" i="38"/>
  <c r="O478" i="38"/>
  <c r="L479" i="38"/>
  <c r="N479" i="38"/>
  <c r="O479" i="38"/>
  <c r="L480" i="38"/>
  <c r="N480" i="38"/>
  <c r="O480" i="38"/>
  <c r="L481" i="38"/>
  <c r="N481" i="38"/>
  <c r="O481" i="38"/>
  <c r="L482" i="38"/>
  <c r="N482" i="38"/>
  <c r="O482" i="38"/>
  <c r="L483" i="38"/>
  <c r="N483" i="38"/>
  <c r="O483" i="38"/>
  <c r="L484" i="38"/>
  <c r="N484" i="38"/>
  <c r="O484" i="38"/>
  <c r="L485" i="38"/>
  <c r="N485" i="38"/>
  <c r="O485" i="38"/>
  <c r="L486" i="38"/>
  <c r="N486" i="38"/>
  <c r="O486" i="38"/>
  <c r="L487" i="38"/>
  <c r="N487" i="38"/>
  <c r="O487" i="38"/>
  <c r="L488" i="38"/>
  <c r="N488" i="38"/>
  <c r="O488" i="38"/>
  <c r="L489" i="38"/>
  <c r="N489" i="38"/>
  <c r="O489" i="38"/>
  <c r="L490" i="38"/>
  <c r="N490" i="38"/>
  <c r="O490" i="38"/>
  <c r="L491" i="38"/>
  <c r="N491" i="38"/>
  <c r="O491" i="38"/>
  <c r="L492" i="38"/>
  <c r="N492" i="38"/>
  <c r="O492" i="38"/>
  <c r="L493" i="38"/>
  <c r="N493" i="38"/>
  <c r="O493" i="38"/>
  <c r="L494" i="38"/>
  <c r="N494" i="38"/>
  <c r="O494" i="38"/>
  <c r="L495" i="38"/>
  <c r="N495" i="38"/>
  <c r="O495" i="38"/>
  <c r="L496" i="38"/>
  <c r="N496" i="38"/>
  <c r="O496" i="38"/>
  <c r="L497" i="38"/>
  <c r="N497" i="38"/>
  <c r="O497" i="38"/>
  <c r="L498" i="38"/>
  <c r="N498" i="38"/>
  <c r="O498" i="38"/>
  <c r="L499" i="38"/>
  <c r="N499" i="38"/>
  <c r="O499" i="38"/>
  <c r="L500" i="38"/>
  <c r="N500" i="38"/>
  <c r="O500" i="38"/>
  <c r="L501" i="38"/>
  <c r="N501" i="38"/>
  <c r="O501" i="38"/>
  <c r="L502" i="38"/>
  <c r="N502" i="38"/>
  <c r="O502" i="38"/>
  <c r="L503" i="38"/>
  <c r="N503" i="38"/>
  <c r="O503" i="38"/>
  <c r="L504" i="38"/>
  <c r="N504" i="38"/>
  <c r="O504" i="38"/>
  <c r="L505" i="38"/>
  <c r="N505" i="38"/>
  <c r="O505" i="38"/>
  <c r="L506" i="38"/>
  <c r="N506" i="38"/>
  <c r="O506" i="38"/>
  <c r="L507" i="38"/>
  <c r="N507" i="38"/>
  <c r="O507" i="38"/>
  <c r="L508" i="38"/>
  <c r="N508" i="38"/>
  <c r="O508" i="38"/>
  <c r="L509" i="38"/>
  <c r="N509" i="38"/>
  <c r="O509" i="38"/>
  <c r="L510" i="38"/>
  <c r="N510" i="38"/>
  <c r="O510" i="38"/>
  <c r="L511" i="38"/>
  <c r="N511" i="38"/>
  <c r="O511" i="38"/>
  <c r="L512" i="38"/>
  <c r="N512" i="38"/>
  <c r="O512" i="38"/>
  <c r="L513" i="38"/>
  <c r="N513" i="38"/>
  <c r="O513" i="38"/>
  <c r="L514" i="38"/>
  <c r="N514" i="38"/>
  <c r="O514" i="38"/>
  <c r="L515" i="38"/>
  <c r="N515" i="38"/>
  <c r="O515" i="38"/>
  <c r="L516" i="38"/>
  <c r="N516" i="38"/>
  <c r="O516" i="38"/>
  <c r="L517" i="38"/>
  <c r="N517" i="38"/>
  <c r="O517" i="38"/>
  <c r="L518" i="38"/>
  <c r="N518" i="38"/>
  <c r="O518" i="38"/>
  <c r="L519" i="38"/>
  <c r="N519" i="38"/>
  <c r="O519" i="38"/>
  <c r="L520" i="38"/>
  <c r="N520" i="38"/>
  <c r="O520" i="38"/>
  <c r="L521" i="38"/>
  <c r="N521" i="38"/>
  <c r="O521" i="38"/>
  <c r="L522" i="38"/>
  <c r="N522" i="38"/>
  <c r="O522" i="38"/>
  <c r="L523" i="38"/>
  <c r="N523" i="38"/>
  <c r="O523" i="38"/>
  <c r="L524" i="38"/>
  <c r="N524" i="38"/>
  <c r="O524" i="38"/>
  <c r="L624" i="38"/>
  <c r="N624" i="38"/>
  <c r="O624" i="38"/>
  <c r="L625" i="38"/>
  <c r="N625" i="38"/>
  <c r="O625" i="38"/>
  <c r="L626" i="38"/>
  <c r="N626" i="38"/>
  <c r="O626" i="38"/>
  <c r="H916" i="38"/>
  <c r="L28" i="40"/>
  <c r="N31" i="40"/>
  <c r="N10" i="41"/>
  <c r="N26" i="41"/>
  <c r="L116" i="41"/>
  <c r="L93" i="41"/>
  <c r="L92" i="41"/>
  <c r="L86" i="41"/>
  <c r="L77" i="41"/>
  <c r="L71" i="41"/>
  <c r="L69" i="41"/>
  <c r="L61" i="41"/>
  <c r="L48" i="41"/>
  <c r="N19" i="41"/>
  <c r="N15" i="39"/>
  <c r="N30" i="41"/>
  <c r="N14" i="41"/>
  <c r="L14" i="39"/>
  <c r="N14" i="39"/>
  <c r="L38" i="41"/>
  <c r="N38" i="41"/>
  <c r="L24" i="41"/>
  <c r="N33" i="39"/>
  <c r="L95" i="41" l="1"/>
  <c r="L109" i="41"/>
  <c r="L89" i="41"/>
  <c r="L91" i="41"/>
  <c r="L41" i="41"/>
  <c r="L96" i="41"/>
  <c r="L50" i="41"/>
  <c r="L35" i="41"/>
  <c r="N43" i="41"/>
  <c r="L76" i="41"/>
  <c r="N99" i="41"/>
  <c r="L102" i="41"/>
  <c r="L67" i="41"/>
  <c r="L31" i="41"/>
  <c r="N12" i="41"/>
  <c r="N28" i="41"/>
  <c r="L87" i="41"/>
  <c r="L7" i="41"/>
  <c r="L37" i="41"/>
  <c r="Q1504" i="42"/>
  <c r="R1504" i="42" s="1"/>
  <c r="L68" i="41"/>
  <c r="I48" i="40"/>
  <c r="L40" i="41"/>
  <c r="N33" i="41"/>
  <c r="L17" i="41"/>
  <c r="L97" i="41"/>
  <c r="L32" i="41"/>
  <c r="L72" i="41"/>
  <c r="N45" i="41"/>
  <c r="L104" i="41"/>
  <c r="N35" i="39"/>
  <c r="P35" i="39" s="1"/>
  <c r="Q35" i="39" s="1"/>
  <c r="L39" i="41"/>
  <c r="L74" i="41"/>
  <c r="L107" i="41"/>
  <c r="P26" i="39"/>
  <c r="Q26" i="39" s="1"/>
  <c r="L20" i="41"/>
  <c r="L49" i="41"/>
  <c r="N8" i="41"/>
  <c r="L46" i="41"/>
  <c r="N32" i="40"/>
  <c r="L73" i="41"/>
  <c r="L15" i="41"/>
  <c r="L115" i="41"/>
  <c r="L37" i="39"/>
  <c r="L83" i="41"/>
  <c r="I2129" i="42"/>
  <c r="M2096" i="42"/>
  <c r="J904" i="38"/>
  <c r="H2131" i="42"/>
  <c r="Q1492" i="42"/>
  <c r="R1492" i="42" s="1"/>
  <c r="R185" i="42"/>
  <c r="R207" i="42"/>
  <c r="R1566" i="42"/>
  <c r="R1599" i="42"/>
  <c r="R1586" i="42"/>
  <c r="R1607" i="42"/>
  <c r="R1642" i="42"/>
  <c r="R1669" i="42"/>
  <c r="R1635" i="42"/>
  <c r="R1693" i="42"/>
  <c r="R1729" i="42"/>
  <c r="R1802" i="42"/>
  <c r="R1760" i="42"/>
  <c r="R1799" i="42"/>
  <c r="R1797" i="42"/>
  <c r="R1814" i="42"/>
  <c r="R1752" i="42"/>
  <c r="R1598" i="42"/>
  <c r="R1798" i="42"/>
  <c r="R1556" i="42"/>
  <c r="R1580" i="42"/>
  <c r="R1633" i="42"/>
  <c r="R1605" i="42"/>
  <c r="R1647" i="42"/>
  <c r="R1689" i="42"/>
  <c r="R1637" i="42"/>
  <c r="R1650" i="42"/>
  <c r="R1719" i="42"/>
  <c r="R1806" i="42"/>
  <c r="R1764" i="42"/>
  <c r="R1803" i="42"/>
  <c r="R1801" i="42"/>
  <c r="R1817" i="42"/>
  <c r="R191" i="42"/>
  <c r="R1554" i="42"/>
  <c r="R1583" i="42"/>
  <c r="R1634" i="42"/>
  <c r="R1608" i="42"/>
  <c r="R1667" i="42"/>
  <c r="R1708" i="42"/>
  <c r="R1640" i="42"/>
  <c r="R1679" i="42"/>
  <c r="R1730" i="42"/>
  <c r="R1810" i="42"/>
  <c r="R1768" i="42"/>
  <c r="R1807" i="42"/>
  <c r="R1805" i="42"/>
  <c r="R1829" i="42"/>
  <c r="R1789" i="42"/>
  <c r="R1723" i="42"/>
  <c r="R1567" i="42"/>
  <c r="R1574" i="42"/>
  <c r="R1615" i="42"/>
  <c r="R1609" i="42"/>
  <c r="R1687" i="42"/>
  <c r="R1670" i="42"/>
  <c r="R1661" i="42"/>
  <c r="R1646" i="42"/>
  <c r="R1734" i="42"/>
  <c r="R1731" i="42"/>
  <c r="R1772" i="42"/>
  <c r="R1811" i="42"/>
  <c r="R1809" i="42"/>
  <c r="R1837" i="42"/>
  <c r="R1714" i="42"/>
  <c r="R193" i="42"/>
  <c r="R1568" i="42"/>
  <c r="R1592" i="42"/>
  <c r="R1613" i="42"/>
  <c r="R1610" i="42"/>
  <c r="R1706" i="42"/>
  <c r="R1690" i="42"/>
  <c r="R1682" i="42"/>
  <c r="R1698" i="42"/>
  <c r="R1738" i="42"/>
  <c r="R1735" i="42"/>
  <c r="R1776" i="42"/>
  <c r="R1733" i="42"/>
  <c r="R1812" i="42"/>
  <c r="R1821" i="42"/>
  <c r="R1561" i="42"/>
  <c r="R1643" i="42"/>
  <c r="R1573" i="42"/>
  <c r="R1793" i="42"/>
  <c r="R1555" i="42"/>
  <c r="R1582" i="42"/>
  <c r="R1614" i="42"/>
  <c r="R1611" i="42"/>
  <c r="R1651" i="42"/>
  <c r="R1709" i="42"/>
  <c r="R1702" i="42"/>
  <c r="R1742" i="42"/>
  <c r="R1739" i="42"/>
  <c r="R1780" i="42"/>
  <c r="R1737" i="42"/>
  <c r="R1825" i="42"/>
  <c r="R200" i="42"/>
  <c r="R1558" i="42"/>
  <c r="R1578" i="42"/>
  <c r="R1621" i="42"/>
  <c r="R1601" i="42"/>
  <c r="R1675" i="42"/>
  <c r="R1691" i="42"/>
  <c r="R1636" i="42"/>
  <c r="R1664" i="42"/>
  <c r="R1746" i="42"/>
  <c r="R1743" i="42"/>
  <c r="R1784" i="42"/>
  <c r="R1741" i="42"/>
  <c r="R1819" i="42"/>
  <c r="R1833" i="42"/>
  <c r="R1711" i="42"/>
  <c r="R1815" i="42"/>
  <c r="R1557" i="42"/>
  <c r="R1597" i="42"/>
  <c r="R1623" i="42"/>
  <c r="R1606" i="42"/>
  <c r="R1645" i="42"/>
  <c r="R1676" i="42"/>
  <c r="R1653" i="42"/>
  <c r="R1704" i="42"/>
  <c r="R1684" i="42"/>
  <c r="R1750" i="42"/>
  <c r="R1747" i="42"/>
  <c r="R1788" i="42"/>
  <c r="R1745" i="42"/>
  <c r="R1823" i="42"/>
  <c r="R1841" i="42"/>
  <c r="R1581" i="42"/>
  <c r="R1722" i="42"/>
  <c r="R1795" i="42"/>
  <c r="R203" i="42"/>
  <c r="R1562" i="42"/>
  <c r="R1628" i="42"/>
  <c r="R1576" i="42"/>
  <c r="R1594" i="42"/>
  <c r="R1665" i="42"/>
  <c r="R1697" i="42"/>
  <c r="R1655" i="42"/>
  <c r="R1666" i="42"/>
  <c r="R1703" i="42"/>
  <c r="R1754" i="42"/>
  <c r="R1751" i="42"/>
  <c r="R1792" i="42"/>
  <c r="R1749" i="42"/>
  <c r="R1827" i="42"/>
  <c r="R1818" i="42"/>
  <c r="R1683" i="42"/>
  <c r="R1649" i="42"/>
  <c r="R1644" i="42"/>
  <c r="R1564" i="42"/>
  <c r="R1612" i="42"/>
  <c r="R1588" i="42"/>
  <c r="R1603" i="42"/>
  <c r="R1685" i="42"/>
  <c r="R1658" i="42"/>
  <c r="R1678" i="42"/>
  <c r="R1686" i="42"/>
  <c r="R1724" i="42"/>
  <c r="R1758" i="42"/>
  <c r="R1755" i="42"/>
  <c r="R1796" i="42"/>
  <c r="R1753" i="42"/>
  <c r="R1831" i="42"/>
  <c r="R1822" i="42"/>
  <c r="R1593" i="42"/>
  <c r="R202" i="42"/>
  <c r="R1565" i="42"/>
  <c r="R1616" i="42"/>
  <c r="R1591" i="42"/>
  <c r="R1604" i="42"/>
  <c r="R1672" i="42"/>
  <c r="R1639" i="42"/>
  <c r="R1659" i="42"/>
  <c r="R1705" i="42"/>
  <c r="R1720" i="42"/>
  <c r="R1762" i="42"/>
  <c r="R1759" i="42"/>
  <c r="R1800" i="42"/>
  <c r="R1757" i="42"/>
  <c r="R1835" i="42"/>
  <c r="R1826" i="42"/>
  <c r="R1627" i="42"/>
  <c r="R1563" i="42"/>
  <c r="R1618" i="42"/>
  <c r="R1626" i="42"/>
  <c r="R1602" i="42"/>
  <c r="R1695" i="42"/>
  <c r="R1680" i="42"/>
  <c r="R1716" i="42"/>
  <c r="R1668" i="42"/>
  <c r="R1721" i="42"/>
  <c r="R1766" i="42"/>
  <c r="R1763" i="42"/>
  <c r="R1804" i="42"/>
  <c r="R1761" i="42"/>
  <c r="R1839" i="42"/>
  <c r="R1830" i="42"/>
  <c r="R205" i="42"/>
  <c r="R1569" i="42"/>
  <c r="R1619" i="42"/>
  <c r="R1629" i="42"/>
  <c r="R1632" i="42"/>
  <c r="R1696" i="42"/>
  <c r="R1710" i="42"/>
  <c r="R1700" i="42"/>
  <c r="R1688" i="42"/>
  <c r="R1726" i="42"/>
  <c r="R1770" i="42"/>
  <c r="R1767" i="42"/>
  <c r="R1808" i="42"/>
  <c r="R1765" i="42"/>
  <c r="R1816" i="42"/>
  <c r="R1834" i="42"/>
  <c r="R186" i="42"/>
  <c r="R1840" i="42"/>
  <c r="R1713" i="42"/>
  <c r="R1585" i="42"/>
  <c r="R1617" i="42"/>
  <c r="R1577" i="42"/>
  <c r="R1587" i="42"/>
  <c r="R1677" i="42"/>
  <c r="R1656" i="42"/>
  <c r="R1701" i="42"/>
  <c r="R1707" i="42"/>
  <c r="R1717" i="42"/>
  <c r="R1774" i="42"/>
  <c r="R1732" i="42"/>
  <c r="R1771" i="42"/>
  <c r="R1769" i="42"/>
  <c r="R1820" i="42"/>
  <c r="R1838" i="42"/>
  <c r="R1631" i="42"/>
  <c r="R1794" i="42"/>
  <c r="R1756" i="42"/>
  <c r="R204" i="42"/>
  <c r="R1570" i="42"/>
  <c r="R1620" i="42"/>
  <c r="R1589" i="42"/>
  <c r="R1575" i="42"/>
  <c r="R1638" i="42"/>
  <c r="R1657" i="42"/>
  <c r="R1663" i="42"/>
  <c r="R1692" i="42"/>
  <c r="R1728" i="42"/>
  <c r="R1778" i="42"/>
  <c r="R1736" i="42"/>
  <c r="R1775" i="42"/>
  <c r="R1773" i="42"/>
  <c r="R1824" i="42"/>
  <c r="R208" i="42"/>
  <c r="R1791" i="42"/>
  <c r="R1560" i="42"/>
  <c r="R1813" i="42"/>
  <c r="R1571" i="42"/>
  <c r="R1622" i="42"/>
  <c r="R1579" i="42"/>
  <c r="R1600" i="42"/>
  <c r="R1699" i="42"/>
  <c r="R1660" i="42"/>
  <c r="R1715" i="42"/>
  <c r="R1673" i="42"/>
  <c r="R1727" i="42"/>
  <c r="R1782" i="42"/>
  <c r="R1740" i="42"/>
  <c r="R1779" i="42"/>
  <c r="R1777" i="42"/>
  <c r="R1828" i="42"/>
  <c r="R1694" i="42"/>
  <c r="R1648" i="42"/>
  <c r="R206" i="42"/>
  <c r="R1572" i="42"/>
  <c r="R1624" i="42"/>
  <c r="R1590" i="42"/>
  <c r="R1596" i="42"/>
  <c r="R1671" i="42"/>
  <c r="R1641" i="42"/>
  <c r="R1654" i="42"/>
  <c r="R1712" i="42"/>
  <c r="R1718" i="42"/>
  <c r="R1786" i="42"/>
  <c r="R1744" i="42"/>
  <c r="R1783" i="42"/>
  <c r="R1781" i="42"/>
  <c r="R1832" i="42"/>
  <c r="R1559" i="42"/>
  <c r="R1584" i="42"/>
  <c r="R1630" i="42"/>
  <c r="R1625" i="42"/>
  <c r="R1595" i="42"/>
  <c r="R1652" i="42"/>
  <c r="R1662" i="42"/>
  <c r="R1674" i="42"/>
  <c r="R1681" i="42"/>
  <c r="R1725" i="42"/>
  <c r="R1790" i="42"/>
  <c r="R1748" i="42"/>
  <c r="R1787" i="42"/>
  <c r="R1785" i="42"/>
  <c r="R1836" i="42"/>
  <c r="I919" i="38"/>
  <c r="Q1481" i="42"/>
  <c r="P24" i="39"/>
  <c r="Q24" i="39" s="1"/>
  <c r="N17" i="39"/>
  <c r="P17" i="39" s="1"/>
  <c r="Q17" i="39" s="1"/>
  <c r="L13" i="39"/>
  <c r="Q1524" i="42"/>
  <c r="Q1483" i="42"/>
  <c r="Q1522" i="42"/>
  <c r="Q1489" i="42"/>
  <c r="Q1525" i="42"/>
  <c r="Q1526" i="42"/>
  <c r="Q1509" i="42"/>
  <c r="Q1488" i="42"/>
  <c r="Q1531" i="42"/>
  <c r="Q1494" i="42"/>
  <c r="Q1530" i="42"/>
  <c r="Q1491" i="42"/>
  <c r="L61" i="38"/>
  <c r="N171" i="38"/>
  <c r="P171" i="38" s="1"/>
  <c r="Q171" i="38" s="1"/>
  <c r="N350" i="38"/>
  <c r="P350" i="38" s="1"/>
  <c r="Q350" i="38" s="1"/>
  <c r="L149" i="38"/>
  <c r="L152" i="38"/>
  <c r="L53" i="38"/>
  <c r="N353" i="38"/>
  <c r="P353" i="38" s="1"/>
  <c r="Q353" i="38" s="1"/>
  <c r="P467" i="38"/>
  <c r="Q467" i="38" s="1"/>
  <c r="P28" i="40"/>
  <c r="Q28" i="40" s="1"/>
  <c r="L34" i="41"/>
  <c r="P13" i="40"/>
  <c r="Q13" i="40" s="1"/>
  <c r="I44" i="40"/>
  <c r="P12" i="40"/>
  <c r="Q12" i="40" s="1"/>
  <c r="P25" i="40"/>
  <c r="Q25" i="40" s="1"/>
  <c r="N18" i="39"/>
  <c r="P18" i="39" s="1"/>
  <c r="Q18" i="39" s="1"/>
  <c r="L80" i="41"/>
  <c r="P33" i="40"/>
  <c r="Q33" i="40" s="1"/>
  <c r="P17" i="40"/>
  <c r="Q17" i="40" s="1"/>
  <c r="N44" i="41"/>
  <c r="L36" i="41"/>
  <c r="L23" i="41"/>
  <c r="P8" i="40"/>
  <c r="Q8" i="40" s="1"/>
  <c r="L51" i="41"/>
  <c r="P25" i="39"/>
  <c r="Q25" i="39" s="1"/>
  <c r="P14" i="40"/>
  <c r="Q14" i="40" s="1"/>
  <c r="Q1496" i="42"/>
  <c r="P511" i="38"/>
  <c r="Q511" i="38" s="1"/>
  <c r="P491" i="38"/>
  <c r="Q491" i="38" s="1"/>
  <c r="P471" i="38"/>
  <c r="Q471" i="38" s="1"/>
  <c r="P457" i="38"/>
  <c r="Q457" i="38" s="1"/>
  <c r="P437" i="38"/>
  <c r="Q437" i="38" s="1"/>
  <c r="P417" i="38"/>
  <c r="Q417" i="38" s="1"/>
  <c r="P397" i="38"/>
  <c r="Q397" i="38" s="1"/>
  <c r="P377" i="38"/>
  <c r="Q377" i="38" s="1"/>
  <c r="Q1528" i="42"/>
  <c r="Q1507" i="42"/>
  <c r="Q1497" i="42"/>
  <c r="Q1490" i="42"/>
  <c r="Q1536" i="42"/>
  <c r="Q1514" i="42"/>
  <c r="Q1517" i="42"/>
  <c r="Q1516" i="42"/>
  <c r="L335" i="38"/>
  <c r="N305" i="38"/>
  <c r="P305" i="38" s="1"/>
  <c r="Q305" i="38" s="1"/>
  <c r="L243" i="38"/>
  <c r="L218" i="38"/>
  <c r="L221" i="38"/>
  <c r="P522" i="38"/>
  <c r="Q522" i="38" s="1"/>
  <c r="P502" i="38"/>
  <c r="Q502" i="38" s="1"/>
  <c r="P482" i="38"/>
  <c r="Q482" i="38" s="1"/>
  <c r="P448" i="38"/>
  <c r="Q448" i="38" s="1"/>
  <c r="P428" i="38"/>
  <c r="Q428" i="38" s="1"/>
  <c r="P408" i="38"/>
  <c r="Q408" i="38" s="1"/>
  <c r="P388" i="38"/>
  <c r="Q388" i="38" s="1"/>
  <c r="P368" i="38"/>
  <c r="Q368" i="38" s="1"/>
  <c r="L355" i="38"/>
  <c r="N183" i="38"/>
  <c r="P183" i="38" s="1"/>
  <c r="Q183" i="38" s="1"/>
  <c r="N303" i="38"/>
  <c r="P303" i="38" s="1"/>
  <c r="Q303" i="38" s="1"/>
  <c r="N267" i="38"/>
  <c r="P267" i="38" s="1"/>
  <c r="Q267" i="38" s="1"/>
  <c r="L237" i="38"/>
  <c r="L18" i="38"/>
  <c r="N160" i="38"/>
  <c r="P160" i="38" s="1"/>
  <c r="Q160" i="38" s="1"/>
  <c r="L348" i="38"/>
  <c r="L55" i="38"/>
  <c r="N311" i="38"/>
  <c r="P311" i="38" s="1"/>
  <c r="Q311" i="38" s="1"/>
  <c r="L299" i="38"/>
  <c r="P514" i="38"/>
  <c r="Q514" i="38" s="1"/>
  <c r="P494" i="38"/>
  <c r="Q494" i="38" s="1"/>
  <c r="P474" i="38"/>
  <c r="Q474" i="38" s="1"/>
  <c r="P460" i="38"/>
  <c r="Q460" i="38" s="1"/>
  <c r="P440" i="38"/>
  <c r="Q440" i="38" s="1"/>
  <c r="P420" i="38"/>
  <c r="Q420" i="38" s="1"/>
  <c r="P400" i="38"/>
  <c r="Q400" i="38" s="1"/>
  <c r="P380" i="38"/>
  <c r="Q380" i="38" s="1"/>
  <c r="P153" i="38"/>
  <c r="Q153" i="38" s="1"/>
  <c r="P144" i="38"/>
  <c r="Q144" i="38" s="1"/>
  <c r="P124" i="38"/>
  <c r="Q124" i="38" s="1"/>
  <c r="P104" i="38"/>
  <c r="Q104" i="38" s="1"/>
  <c r="P84" i="38"/>
  <c r="Q84" i="38" s="1"/>
  <c r="N343" i="38"/>
  <c r="P343" i="38" s="1"/>
  <c r="Q343" i="38" s="1"/>
  <c r="L176" i="38"/>
  <c r="L23" i="38"/>
  <c r="P250" i="38"/>
  <c r="Q250" i="38" s="1"/>
  <c r="P227" i="38"/>
  <c r="Q227" i="38" s="1"/>
  <c r="P220" i="38"/>
  <c r="Q220" i="38" s="1"/>
  <c r="P205" i="38"/>
  <c r="Q205" i="38" s="1"/>
  <c r="N187" i="38"/>
  <c r="P187" i="38" s="1"/>
  <c r="Q187" i="38" s="1"/>
  <c r="L28" i="38"/>
  <c r="L310" i="38"/>
  <c r="N330" i="38"/>
  <c r="P330" i="38" s="1"/>
  <c r="Q330" i="38" s="1"/>
  <c r="N342" i="38"/>
  <c r="P342" i="38" s="1"/>
  <c r="Q342" i="38" s="1"/>
  <c r="N337" i="38"/>
  <c r="P337" i="38" s="1"/>
  <c r="Q337" i="38" s="1"/>
  <c r="N197" i="38"/>
  <c r="P197" i="38" s="1"/>
  <c r="Q197" i="38" s="1"/>
  <c r="N328" i="38"/>
  <c r="P328" i="38" s="1"/>
  <c r="Q328" i="38" s="1"/>
  <c r="L168" i="38"/>
  <c r="P64" i="38"/>
  <c r="Q64" i="38" s="1"/>
  <c r="L14" i="38"/>
  <c r="P37" i="38"/>
  <c r="Q37" i="38" s="1"/>
  <c r="P128" i="38"/>
  <c r="Q128" i="38" s="1"/>
  <c r="P88" i="38"/>
  <c r="Q88" i="38" s="1"/>
  <c r="N58" i="38"/>
  <c r="P58" i="38" s="1"/>
  <c r="Q58" i="38" s="1"/>
  <c r="N215" i="38"/>
  <c r="P215" i="38" s="1"/>
  <c r="Q215" i="38" s="1"/>
  <c r="N147" i="38"/>
  <c r="P147" i="38" s="1"/>
  <c r="Q147" i="38" s="1"/>
  <c r="L202" i="38"/>
  <c r="L312" i="38"/>
  <c r="L192" i="38"/>
  <c r="L188" i="38"/>
  <c r="L166" i="38"/>
  <c r="L217" i="38"/>
  <c r="P159" i="38"/>
  <c r="Q159" i="38" s="1"/>
  <c r="P130" i="38"/>
  <c r="Q130" i="38" s="1"/>
  <c r="P110" i="38"/>
  <c r="Q110" i="38" s="1"/>
  <c r="P70" i="38"/>
  <c r="Q70" i="38" s="1"/>
  <c r="N242" i="38"/>
  <c r="P242" i="38" s="1"/>
  <c r="Q242" i="38" s="1"/>
  <c r="N182" i="38"/>
  <c r="P182" i="38" s="1"/>
  <c r="Q182" i="38" s="1"/>
  <c r="L164" i="38"/>
  <c r="P157" i="38"/>
  <c r="Q157" i="38" s="1"/>
  <c r="P68" i="38"/>
  <c r="Q68" i="38" s="1"/>
  <c r="N275" i="38"/>
  <c r="P275" i="38" s="1"/>
  <c r="Q275" i="38" s="1"/>
  <c r="N345" i="38"/>
  <c r="P345" i="38" s="1"/>
  <c r="Q345" i="38" s="1"/>
  <c r="L257" i="38"/>
  <c r="L17" i="38"/>
  <c r="L239" i="38"/>
  <c r="L199" i="38"/>
  <c r="N268" i="38"/>
  <c r="P268" i="38" s="1"/>
  <c r="Q268" i="38" s="1"/>
  <c r="L193" i="38"/>
  <c r="P466" i="38"/>
  <c r="Q466" i="38" s="1"/>
  <c r="L216" i="38"/>
  <c r="N59" i="38"/>
  <c r="P59" i="38" s="1"/>
  <c r="Q59" i="38" s="1"/>
  <c r="N351" i="38"/>
  <c r="P351" i="38" s="1"/>
  <c r="Q351" i="38" s="1"/>
  <c r="N341" i="38"/>
  <c r="P341" i="38" s="1"/>
  <c r="Q341" i="38" s="1"/>
  <c r="P357" i="38"/>
  <c r="Q357" i="38" s="1"/>
  <c r="N175" i="38"/>
  <c r="P175" i="38" s="1"/>
  <c r="Q175" i="38" s="1"/>
  <c r="N196" i="38"/>
  <c r="P196" i="38" s="1"/>
  <c r="Q196" i="38" s="1"/>
  <c r="P767" i="38"/>
  <c r="Q767" i="38" s="1"/>
  <c r="L49" i="38"/>
  <c r="N12" i="38"/>
  <c r="P12" i="38" s="1"/>
  <c r="Q12" i="38" s="1"/>
  <c r="N304" i="38"/>
  <c r="P304" i="38" s="1"/>
  <c r="Q304" i="38" s="1"/>
  <c r="L191" i="38"/>
  <c r="L201" i="38"/>
  <c r="N22" i="38"/>
  <c r="P22" i="38" s="1"/>
  <c r="Q22" i="38" s="1"/>
  <c r="N352" i="38"/>
  <c r="P352" i="38" s="1"/>
  <c r="Q352" i="38" s="1"/>
  <c r="N329" i="38"/>
  <c r="P329" i="38" s="1"/>
  <c r="Q329" i="38" s="1"/>
  <c r="L25" i="38"/>
  <c r="P768" i="38"/>
  <c r="Q768" i="38" s="1"/>
  <c r="P636" i="38"/>
  <c r="Q636" i="38" s="1"/>
  <c r="P742" i="38"/>
  <c r="Q742" i="38" s="1"/>
  <c r="P703" i="38"/>
  <c r="Q703" i="38" s="1"/>
  <c r="P649" i="38"/>
  <c r="Q649" i="38" s="1"/>
  <c r="P626" i="38"/>
  <c r="Q626" i="38" s="1"/>
  <c r="P487" i="38"/>
  <c r="Q487" i="38" s="1"/>
  <c r="P453" i="38"/>
  <c r="Q453" i="38" s="1"/>
  <c r="P643" i="38"/>
  <c r="Q643" i="38" s="1"/>
  <c r="P663" i="38"/>
  <c r="Q663" i="38" s="1"/>
  <c r="P712" i="38"/>
  <c r="Q712" i="38" s="1"/>
  <c r="P510" i="38"/>
  <c r="Q510" i="38" s="1"/>
  <c r="P490" i="38"/>
  <c r="Q490" i="38" s="1"/>
  <c r="P396" i="38"/>
  <c r="Q396" i="38" s="1"/>
  <c r="P356" i="38"/>
  <c r="Q356" i="38" s="1"/>
  <c r="P769" i="38"/>
  <c r="Q769" i="38" s="1"/>
  <c r="P724" i="38"/>
  <c r="Q724" i="38" s="1"/>
  <c r="P745" i="38"/>
  <c r="Q745" i="38" s="1"/>
  <c r="P108" i="38"/>
  <c r="Q108" i="38" s="1"/>
  <c r="P632" i="38"/>
  <c r="Q632" i="38" s="1"/>
  <c r="P247" i="38"/>
  <c r="Q247" i="38" s="1"/>
  <c r="P224" i="38"/>
  <c r="Q224" i="38" s="1"/>
  <c r="P216" i="38"/>
  <c r="Q216" i="38" s="1"/>
  <c r="P519" i="38"/>
  <c r="Q519" i="38" s="1"/>
  <c r="P499" i="38"/>
  <c r="Q499" i="38" s="1"/>
  <c r="P479" i="38"/>
  <c r="Q479" i="38" s="1"/>
  <c r="P465" i="38"/>
  <c r="Q465" i="38" s="1"/>
  <c r="P445" i="38"/>
  <c r="Q445" i="38" s="1"/>
  <c r="P425" i="38"/>
  <c r="Q425" i="38" s="1"/>
  <c r="P405" i="38"/>
  <c r="Q405" i="38" s="1"/>
  <c r="P385" i="38"/>
  <c r="Q385" i="38" s="1"/>
  <c r="P365" i="38"/>
  <c r="Q365" i="38" s="1"/>
  <c r="P245" i="38"/>
  <c r="Q245" i="38" s="1"/>
  <c r="P161" i="38"/>
  <c r="Q161" i="38" s="1"/>
  <c r="P154" i="38"/>
  <c r="Q154" i="38" s="1"/>
  <c r="P145" i="38"/>
  <c r="Q145" i="38" s="1"/>
  <c r="P125" i="38"/>
  <c r="Q125" i="38" s="1"/>
  <c r="P105" i="38"/>
  <c r="Q105" i="38" s="1"/>
  <c r="P85" i="38"/>
  <c r="Q85" i="38" s="1"/>
  <c r="P65" i="38"/>
  <c r="Q65" i="38" s="1"/>
  <c r="P505" i="38"/>
  <c r="Q505" i="38" s="1"/>
  <c r="P451" i="38"/>
  <c r="Q451" i="38" s="1"/>
  <c r="P411" i="38"/>
  <c r="Q411" i="38" s="1"/>
  <c r="P391" i="38"/>
  <c r="Q391" i="38" s="1"/>
  <c r="P169" i="38"/>
  <c r="Q169" i="38" s="1"/>
  <c r="P46" i="38"/>
  <c r="Q46" i="38" s="1"/>
  <c r="P728" i="38"/>
  <c r="Q728" i="38" s="1"/>
  <c r="P308" i="38"/>
  <c r="Q308" i="38" s="1"/>
  <c r="P727" i="38"/>
  <c r="Q727" i="38" s="1"/>
  <c r="P725" i="38"/>
  <c r="Q725" i="38" s="1"/>
  <c r="P295" i="38"/>
  <c r="Q295" i="38" s="1"/>
  <c r="P373" i="38"/>
  <c r="Q373" i="38" s="1"/>
  <c r="P230" i="38"/>
  <c r="Q230" i="38" s="1"/>
  <c r="P208" i="38"/>
  <c r="Q208" i="38" s="1"/>
  <c r="P665" i="38"/>
  <c r="Q665" i="38" s="1"/>
  <c r="P513" i="38"/>
  <c r="Q513" i="38" s="1"/>
  <c r="P493" i="38"/>
  <c r="Q493" i="38" s="1"/>
  <c r="P473" i="38"/>
  <c r="Q473" i="38" s="1"/>
  <c r="P459" i="38"/>
  <c r="Q459" i="38" s="1"/>
  <c r="P439" i="38"/>
  <c r="Q439" i="38" s="1"/>
  <c r="P419" i="38"/>
  <c r="Q419" i="38" s="1"/>
  <c r="P399" i="38"/>
  <c r="Q399" i="38" s="1"/>
  <c r="P379" i="38"/>
  <c r="Q379" i="38" s="1"/>
  <c r="P359" i="38"/>
  <c r="Q359" i="38" s="1"/>
  <c r="P34" i="38"/>
  <c r="Q34" i="38" s="1"/>
  <c r="P10" i="38"/>
  <c r="Q10" i="38" s="1"/>
  <c r="P317" i="38"/>
  <c r="Q317" i="38" s="1"/>
  <c r="P731" i="38"/>
  <c r="Q731" i="38" s="1"/>
  <c r="P265" i="38"/>
  <c r="Q265" i="38" s="1"/>
  <c r="P235" i="38"/>
  <c r="Q235" i="38" s="1"/>
  <c r="P213" i="38"/>
  <c r="Q213" i="38" s="1"/>
  <c r="P138" i="38"/>
  <c r="Q138" i="38" s="1"/>
  <c r="P98" i="38"/>
  <c r="Q98" i="38" s="1"/>
  <c r="P78" i="38"/>
  <c r="Q78" i="38" s="1"/>
  <c r="P710" i="38"/>
  <c r="Q710" i="38" s="1"/>
  <c r="P627" i="38"/>
  <c r="Q627" i="38" s="1"/>
  <c r="P661" i="38"/>
  <c r="Q661" i="38" s="1"/>
  <c r="P684" i="38"/>
  <c r="Q684" i="38" s="1"/>
  <c r="P348" i="38"/>
  <c r="Q348" i="38" s="1"/>
  <c r="P298" i="38"/>
  <c r="Q298" i="38" s="1"/>
  <c r="P38" i="38"/>
  <c r="Q38" i="38" s="1"/>
  <c r="P23" i="38"/>
  <c r="Q23" i="38" s="1"/>
  <c r="P639" i="38"/>
  <c r="Q639" i="38" s="1"/>
  <c r="P660" i="38"/>
  <c r="Q660" i="38" s="1"/>
  <c r="P682" i="38"/>
  <c r="Q682" i="38" s="1"/>
  <c r="P681" i="38"/>
  <c r="Q681" i="38" s="1"/>
  <c r="P314" i="38"/>
  <c r="Q314" i="38" s="1"/>
  <c r="P722" i="38"/>
  <c r="Q722" i="38" s="1"/>
  <c r="P255" i="38"/>
  <c r="Q255" i="38" s="1"/>
  <c r="P232" i="38"/>
  <c r="Q232" i="38" s="1"/>
  <c r="P30" i="38"/>
  <c r="Q30" i="38" s="1"/>
  <c r="P635" i="38"/>
  <c r="Q635" i="38" s="1"/>
  <c r="P326" i="38"/>
  <c r="Q326" i="38" s="1"/>
  <c r="P141" i="38"/>
  <c r="Q141" i="38" s="1"/>
  <c r="P121" i="38"/>
  <c r="Q121" i="38" s="1"/>
  <c r="P101" i="38"/>
  <c r="Q101" i="38" s="1"/>
  <c r="P81" i="38"/>
  <c r="Q81" i="38" s="1"/>
  <c r="P261" i="38"/>
  <c r="Q261" i="38" s="1"/>
  <c r="P239" i="38"/>
  <c r="Q239" i="38" s="1"/>
  <c r="L331" i="38"/>
  <c r="P259" i="38"/>
  <c r="Q259" i="38" s="1"/>
  <c r="P142" i="38"/>
  <c r="Q142" i="38" s="1"/>
  <c r="P122" i="38"/>
  <c r="Q122" i="38" s="1"/>
  <c r="P102" i="38"/>
  <c r="Q102" i="38" s="1"/>
  <c r="P82" i="38"/>
  <c r="Q82" i="38" s="1"/>
  <c r="L62" i="38"/>
  <c r="P31" i="38"/>
  <c r="Q31" i="38" s="1"/>
  <c r="P630" i="38"/>
  <c r="Q630" i="38" s="1"/>
  <c r="P782" i="38"/>
  <c r="Q782" i="38" s="1"/>
  <c r="P762" i="38"/>
  <c r="Q762" i="38" s="1"/>
  <c r="L301" i="38"/>
  <c r="P280" i="38"/>
  <c r="Q280" i="38" s="1"/>
  <c r="P207" i="38"/>
  <c r="Q207" i="38" s="1"/>
  <c r="P199" i="38"/>
  <c r="Q199" i="38" s="1"/>
  <c r="N190" i="38"/>
  <c r="P190" i="38" s="1"/>
  <c r="Q190" i="38" s="1"/>
  <c r="P23" i="39"/>
  <c r="Q23" i="39" s="1"/>
  <c r="L18" i="41"/>
  <c r="P686" i="38"/>
  <c r="Q686" i="38" s="1"/>
  <c r="P689" i="38"/>
  <c r="Q689" i="38" s="1"/>
  <c r="P781" i="38"/>
  <c r="Q781" i="38" s="1"/>
  <c r="P761" i="38"/>
  <c r="Q761" i="38" s="1"/>
  <c r="P736" i="38"/>
  <c r="Q736" i="38" s="1"/>
  <c r="P716" i="38"/>
  <c r="Q716" i="38" s="1"/>
  <c r="P697" i="38"/>
  <c r="Q697" i="38" s="1"/>
  <c r="P149" i="38"/>
  <c r="Q149" i="38" s="1"/>
  <c r="P644" i="38"/>
  <c r="Q644" i="38" s="1"/>
  <c r="P676" i="38"/>
  <c r="Q676" i="38" s="1"/>
  <c r="P664" i="38"/>
  <c r="Q664" i="38" s="1"/>
  <c r="P687" i="38"/>
  <c r="Q687" i="38" s="1"/>
  <c r="P779" i="38"/>
  <c r="Q779" i="38" s="1"/>
  <c r="P759" i="38"/>
  <c r="Q759" i="38" s="1"/>
  <c r="N241" i="38"/>
  <c r="P241" i="38" s="1"/>
  <c r="Q241" i="38" s="1"/>
  <c r="N167" i="38"/>
  <c r="P167" i="38" s="1"/>
  <c r="Q167" i="38" s="1"/>
  <c r="N204" i="38"/>
  <c r="P204" i="38" s="1"/>
  <c r="Q204" i="38" s="1"/>
  <c r="L75" i="41"/>
  <c r="L113" i="41"/>
  <c r="N29" i="40"/>
  <c r="P315" i="38"/>
  <c r="Q315" i="38" s="1"/>
  <c r="P279" i="38"/>
  <c r="Q279" i="38" s="1"/>
  <c r="P228" i="38"/>
  <c r="Q228" i="38" s="1"/>
  <c r="P206" i="38"/>
  <c r="Q206" i="38" s="1"/>
  <c r="P37" i="39"/>
  <c r="Q37" i="39" s="1"/>
  <c r="P22" i="39"/>
  <c r="Q22" i="39" s="1"/>
  <c r="P14" i="39"/>
  <c r="Q14" i="39" s="1"/>
  <c r="P516" i="38"/>
  <c r="Q516" i="38" s="1"/>
  <c r="P496" i="38"/>
  <c r="Q496" i="38" s="1"/>
  <c r="P476" i="38"/>
  <c r="Q476" i="38" s="1"/>
  <c r="P462" i="38"/>
  <c r="Q462" i="38" s="1"/>
  <c r="P442" i="38"/>
  <c r="Q442" i="38" s="1"/>
  <c r="P422" i="38"/>
  <c r="Q422" i="38" s="1"/>
  <c r="P402" i="38"/>
  <c r="Q402" i="38" s="1"/>
  <c r="P382" i="38"/>
  <c r="Q382" i="38" s="1"/>
  <c r="P362" i="38"/>
  <c r="Q362" i="38" s="1"/>
  <c r="P292" i="38"/>
  <c r="Q292" i="38" s="1"/>
  <c r="P221" i="38"/>
  <c r="Q221" i="38" s="1"/>
  <c r="N180" i="38"/>
  <c r="P180" i="38" s="1"/>
  <c r="Q180" i="38" s="1"/>
  <c r="P36" i="38"/>
  <c r="Q36" i="38" s="1"/>
  <c r="P13" i="38"/>
  <c r="Q13" i="38" s="1"/>
  <c r="P11" i="40"/>
  <c r="Q11" i="40" s="1"/>
  <c r="P355" i="38"/>
  <c r="Q355" i="38" s="1"/>
  <c r="P321" i="38"/>
  <c r="Q321" i="38" s="1"/>
  <c r="P307" i="38"/>
  <c r="Q307" i="38" s="1"/>
  <c r="P140" i="38"/>
  <c r="Q140" i="38" s="1"/>
  <c r="P120" i="38"/>
  <c r="Q120" i="38" s="1"/>
  <c r="P100" i="38"/>
  <c r="Q100" i="38" s="1"/>
  <c r="P80" i="38"/>
  <c r="Q80" i="38" s="1"/>
  <c r="P24" i="40"/>
  <c r="Q24" i="40" s="1"/>
  <c r="P36" i="39"/>
  <c r="Q36" i="39" s="1"/>
  <c r="P28" i="39"/>
  <c r="Q28" i="39" s="1"/>
  <c r="P13" i="39"/>
  <c r="Q13" i="39" s="1"/>
  <c r="P753" i="38"/>
  <c r="Q753" i="38" s="1"/>
  <c r="P775" i="38"/>
  <c r="Q775" i="38" s="1"/>
  <c r="P730" i="38"/>
  <c r="Q730" i="38" s="1"/>
  <c r="N195" i="38"/>
  <c r="P195" i="38" s="1"/>
  <c r="Q195" i="38" s="1"/>
  <c r="I65" i="40"/>
  <c r="N306" i="38"/>
  <c r="P306" i="38" s="1"/>
  <c r="Q306" i="38" s="1"/>
  <c r="N186" i="38"/>
  <c r="P186" i="38" s="1"/>
  <c r="Q186" i="38" s="1"/>
  <c r="P291" i="38"/>
  <c r="Q291" i="38" s="1"/>
  <c r="N179" i="38"/>
  <c r="P179" i="38" s="1"/>
  <c r="Q179" i="38" s="1"/>
  <c r="P155" i="38"/>
  <c r="Q155" i="38" s="1"/>
  <c r="P126" i="38"/>
  <c r="Q126" i="38" s="1"/>
  <c r="P106" i="38"/>
  <c r="Q106" i="38" s="1"/>
  <c r="P86" i="38"/>
  <c r="Q86" i="38" s="1"/>
  <c r="P66" i="38"/>
  <c r="Q66" i="38" s="1"/>
  <c r="P35" i="38"/>
  <c r="Q35" i="38" s="1"/>
  <c r="P641" i="38"/>
  <c r="Q641" i="38" s="1"/>
  <c r="P320" i="38"/>
  <c r="Q320" i="38" s="1"/>
  <c r="P48" i="38"/>
  <c r="Q48" i="38" s="1"/>
  <c r="P521" i="38"/>
  <c r="Q521" i="38" s="1"/>
  <c r="P501" i="38"/>
  <c r="Q501" i="38" s="1"/>
  <c r="P481" i="38"/>
  <c r="Q481" i="38" s="1"/>
  <c r="P427" i="38"/>
  <c r="Q427" i="38" s="1"/>
  <c r="P407" i="38"/>
  <c r="Q407" i="38" s="1"/>
  <c r="P387" i="38"/>
  <c r="Q387" i="38" s="1"/>
  <c r="P367" i="38"/>
  <c r="Q367" i="38" s="1"/>
  <c r="P335" i="38"/>
  <c r="Q335" i="38" s="1"/>
  <c r="P313" i="38"/>
  <c r="Q313" i="38" s="1"/>
  <c r="L256" i="38"/>
  <c r="P249" i="38"/>
  <c r="Q249" i="38" s="1"/>
  <c r="P226" i="38"/>
  <c r="Q226" i="38" s="1"/>
  <c r="P27" i="38"/>
  <c r="Q27" i="38" s="1"/>
  <c r="P20" i="39"/>
  <c r="Q20" i="39" s="1"/>
  <c r="N66" i="41"/>
  <c r="L42" i="41"/>
  <c r="P744" i="38"/>
  <c r="Q744" i="38" s="1"/>
  <c r="P748" i="38"/>
  <c r="Q748" i="38" s="1"/>
  <c r="L52" i="38"/>
  <c r="P296" i="38"/>
  <c r="Q296" i="38" s="1"/>
  <c r="P276" i="38"/>
  <c r="Q276" i="38" s="1"/>
  <c r="P225" i="38"/>
  <c r="Q225" i="38" s="1"/>
  <c r="N203" i="38"/>
  <c r="P203" i="38" s="1"/>
  <c r="Q203" i="38" s="1"/>
  <c r="N185" i="38"/>
  <c r="P185" i="38" s="1"/>
  <c r="Q185" i="38" s="1"/>
  <c r="L177" i="38"/>
  <c r="I45" i="40"/>
  <c r="P33" i="39"/>
  <c r="Q33" i="39" s="1"/>
  <c r="P19" i="39"/>
  <c r="Q19" i="39" s="1"/>
  <c r="P658" i="38"/>
  <c r="Q658" i="38" s="1"/>
  <c r="N23" i="40"/>
  <c r="P685" i="38"/>
  <c r="Q685" i="38" s="1"/>
  <c r="H55" i="40"/>
  <c r="L94" i="41"/>
  <c r="L22" i="41"/>
  <c r="N238" i="38"/>
  <c r="P238" i="38" s="1"/>
  <c r="Q238" i="38" s="1"/>
  <c r="N178" i="38"/>
  <c r="P178" i="38" s="1"/>
  <c r="Q178" i="38" s="1"/>
  <c r="P512" i="38"/>
  <c r="Q512" i="38" s="1"/>
  <c r="P472" i="38"/>
  <c r="Q472" i="38" s="1"/>
  <c r="P438" i="38"/>
  <c r="Q438" i="38" s="1"/>
  <c r="P418" i="38"/>
  <c r="Q418" i="38" s="1"/>
  <c r="P398" i="38"/>
  <c r="Q398" i="38" s="1"/>
  <c r="P378" i="38"/>
  <c r="Q378" i="38" s="1"/>
  <c r="P358" i="38"/>
  <c r="Q358" i="38" s="1"/>
  <c r="P310" i="38"/>
  <c r="Q310" i="38" s="1"/>
  <c r="P32" i="38"/>
  <c r="Q32" i="38" s="1"/>
  <c r="P7" i="40"/>
  <c r="Q7" i="40" s="1"/>
  <c r="P8" i="39"/>
  <c r="Q8" i="39" s="1"/>
  <c r="P650" i="38"/>
  <c r="Q650" i="38" s="1"/>
  <c r="P633" i="38"/>
  <c r="Q633" i="38" s="1"/>
  <c r="P654" i="38"/>
  <c r="Q654" i="38" s="1"/>
  <c r="P693" i="38"/>
  <c r="Q693" i="38" s="1"/>
  <c r="P653" i="38"/>
  <c r="Q653" i="38" s="1"/>
  <c r="L313" i="38"/>
  <c r="L70" i="41"/>
  <c r="P424" i="38"/>
  <c r="Q424" i="38" s="1"/>
  <c r="H914" i="38"/>
  <c r="P678" i="38"/>
  <c r="Q678" i="38" s="1"/>
  <c r="P691" i="38"/>
  <c r="Q691" i="38" s="1"/>
  <c r="P783" i="38"/>
  <c r="Q783" i="38" s="1"/>
  <c r="P763" i="38"/>
  <c r="Q763" i="38" s="1"/>
  <c r="P738" i="38"/>
  <c r="Q738" i="38" s="1"/>
  <c r="P718" i="38"/>
  <c r="Q718" i="38" s="1"/>
  <c r="Q1534" i="42"/>
  <c r="Q1487" i="42"/>
  <c r="Q1527" i="42"/>
  <c r="Q1519" i="42"/>
  <c r="Q1512" i="42"/>
  <c r="Q1508" i="42"/>
  <c r="Q1482" i="42"/>
  <c r="Q1529" i="42"/>
  <c r="Q1523" i="42"/>
  <c r="Q1485" i="42"/>
  <c r="Q1506" i="42"/>
  <c r="Q1505" i="42"/>
  <c r="Q1537" i="42"/>
  <c r="Q1339" i="42"/>
  <c r="Q1539" i="42"/>
  <c r="Q1501" i="42"/>
  <c r="Q1540" i="42"/>
  <c r="Q1520" i="42"/>
  <c r="Q1502" i="42"/>
  <c r="Q1500" i="42"/>
  <c r="Q1518" i="42"/>
  <c r="Q1538" i="42"/>
  <c r="Q1521" i="42"/>
  <c r="Q1484" i="42"/>
  <c r="Q1513" i="42"/>
  <c r="Q1097" i="42"/>
  <c r="Q1053" i="42"/>
  <c r="Q1029" i="42"/>
  <c r="Q1009" i="42"/>
  <c r="Q989" i="42"/>
  <c r="Q959" i="42"/>
  <c r="Q949" i="42"/>
  <c r="Q910" i="42"/>
  <c r="Q929" i="42"/>
  <c r="Q870" i="42"/>
  <c r="Q888" i="42"/>
  <c r="Q847" i="42"/>
  <c r="Q834" i="42"/>
  <c r="Q815" i="42"/>
  <c r="Q787" i="42"/>
  <c r="Q739" i="42"/>
  <c r="Q749" i="42"/>
  <c r="Q767" i="42"/>
  <c r="Q726" i="42"/>
  <c r="Q683" i="42"/>
  <c r="Q666" i="42"/>
  <c r="Q656" i="42"/>
  <c r="Q629" i="42"/>
  <c r="Q625" i="42"/>
  <c r="Q609" i="42"/>
  <c r="Q614" i="42"/>
  <c r="Q588" i="42"/>
  <c r="Q574" i="42"/>
  <c r="Q566" i="42"/>
  <c r="Q556" i="42"/>
  <c r="Q1357" i="42"/>
  <c r="Q1312" i="42"/>
  <c r="Q1421" i="42"/>
  <c r="Q1150" i="42"/>
  <c r="Q1130" i="42"/>
  <c r="Q1486" i="42"/>
  <c r="Q546" i="42"/>
  <c r="Q518" i="42"/>
  <c r="Q500" i="42"/>
  <c r="Q486" i="42"/>
  <c r="Q466" i="42"/>
  <c r="Q456" i="42"/>
  <c r="Q446" i="42"/>
  <c r="Q436" i="42"/>
  <c r="Q433" i="42"/>
  <c r="Q414" i="42"/>
  <c r="Q406" i="42"/>
  <c r="Q389" i="42"/>
  <c r="Q398" i="42"/>
  <c r="Q379" i="42"/>
  <c r="Q353" i="42"/>
  <c r="Q1251" i="42"/>
  <c r="Q1495" i="42"/>
  <c r="Q1248" i="42"/>
  <c r="Q1533" i="42"/>
  <c r="Q1493" i="42"/>
  <c r="Q357" i="42"/>
  <c r="Q342" i="42"/>
  <c r="Q334" i="42"/>
  <c r="Q328" i="42"/>
  <c r="Q322" i="42"/>
  <c r="Q304" i="42"/>
  <c r="Q296" i="42"/>
  <c r="Q278" i="42"/>
  <c r="Q283" i="42"/>
  <c r="Q994" i="42"/>
  <c r="Q1498" i="42"/>
  <c r="Q1102" i="42"/>
  <c r="Q1037" i="42"/>
  <c r="Q1014" i="42"/>
  <c r="Q964" i="42"/>
  <c r="Q934" i="42"/>
  <c r="Q893" i="42"/>
  <c r="Q1499" i="42"/>
  <c r="Q1152" i="42"/>
  <c r="Q1072" i="42"/>
  <c r="Q1034" i="42"/>
  <c r="Q974" i="42"/>
  <c r="Q915" i="42"/>
  <c r="Q875" i="42"/>
  <c r="Q827" i="42"/>
  <c r="Q756" i="42"/>
  <c r="L174" i="38"/>
  <c r="P338" i="38"/>
  <c r="Q338" i="38" s="1"/>
  <c r="P214" i="38"/>
  <c r="Q214" i="38" s="1"/>
  <c r="N200" i="38"/>
  <c r="P200" i="38" s="1"/>
  <c r="Q200" i="38" s="1"/>
  <c r="L200" i="38"/>
  <c r="P174" i="38"/>
  <c r="Q174" i="38" s="1"/>
  <c r="P158" i="38"/>
  <c r="Q158" i="38" s="1"/>
  <c r="P45" i="38"/>
  <c r="Q45" i="38" s="1"/>
  <c r="N189" i="38"/>
  <c r="P189" i="38" s="1"/>
  <c r="Q189" i="38" s="1"/>
  <c r="P509" i="38"/>
  <c r="Q509" i="38" s="1"/>
  <c r="P489" i="38"/>
  <c r="Q489" i="38" s="1"/>
  <c r="P469" i="38"/>
  <c r="Q469" i="38" s="1"/>
  <c r="P286" i="38"/>
  <c r="Q286" i="38" s="1"/>
  <c r="P272" i="38"/>
  <c r="Q272" i="38" s="1"/>
  <c r="P258" i="38"/>
  <c r="Q258" i="38" s="1"/>
  <c r="L165" i="38"/>
  <c r="P135" i="38"/>
  <c r="Q135" i="38" s="1"/>
  <c r="P115" i="38"/>
  <c r="Q115" i="38" s="1"/>
  <c r="P95" i="38"/>
  <c r="Q95" i="38" s="1"/>
  <c r="P75" i="38"/>
  <c r="Q75" i="38" s="1"/>
  <c r="P52" i="38"/>
  <c r="Q52" i="38" s="1"/>
  <c r="L27" i="40"/>
  <c r="L32" i="39"/>
  <c r="H49" i="39"/>
  <c r="L11" i="41"/>
  <c r="N11" i="41"/>
  <c r="L346" i="38"/>
  <c r="L354" i="38"/>
  <c r="L338" i="38"/>
  <c r="N269" i="38"/>
  <c r="P269" i="38" s="1"/>
  <c r="Q269" i="38" s="1"/>
  <c r="L98" i="41"/>
  <c r="P508" i="38"/>
  <c r="Q508" i="38" s="1"/>
  <c r="P488" i="38"/>
  <c r="Q488" i="38" s="1"/>
  <c r="P468" i="38"/>
  <c r="Q468" i="38" s="1"/>
  <c r="P454" i="38"/>
  <c r="Q454" i="38" s="1"/>
  <c r="P434" i="38"/>
  <c r="Q434" i="38" s="1"/>
  <c r="P414" i="38"/>
  <c r="Q414" i="38" s="1"/>
  <c r="P394" i="38"/>
  <c r="Q394" i="38" s="1"/>
  <c r="P374" i="38"/>
  <c r="Q374" i="38" s="1"/>
  <c r="P354" i="38"/>
  <c r="Q354" i="38" s="1"/>
  <c r="P336" i="38"/>
  <c r="Q336" i="38" s="1"/>
  <c r="P257" i="38"/>
  <c r="Q257" i="38" s="1"/>
  <c r="N244" i="38"/>
  <c r="P244" i="38" s="1"/>
  <c r="Q244" i="38" s="1"/>
  <c r="N172" i="38"/>
  <c r="P172" i="38" s="1"/>
  <c r="Q172" i="38" s="1"/>
  <c r="L172" i="38"/>
  <c r="P7" i="39"/>
  <c r="Q7" i="39" s="1"/>
  <c r="N90" i="41"/>
  <c r="L90" i="41"/>
  <c r="N62" i="41"/>
  <c r="P278" i="38"/>
  <c r="Q278" i="38" s="1"/>
  <c r="P156" i="38"/>
  <c r="Q156" i="38" s="1"/>
  <c r="P148" i="38"/>
  <c r="Q148" i="38" s="1"/>
  <c r="P127" i="38"/>
  <c r="Q127" i="38" s="1"/>
  <c r="P107" i="38"/>
  <c r="Q107" i="38" s="1"/>
  <c r="P87" i="38"/>
  <c r="Q87" i="38" s="1"/>
  <c r="P67" i="38"/>
  <c r="Q67" i="38" s="1"/>
  <c r="P19" i="40"/>
  <c r="Q19" i="40" s="1"/>
  <c r="N39" i="39"/>
  <c r="P39" i="39" s="1"/>
  <c r="Q39" i="39" s="1"/>
  <c r="N344" i="38"/>
  <c r="P344" i="38" s="1"/>
  <c r="Q344" i="38" s="1"/>
  <c r="L344" i="38"/>
  <c r="L34" i="39"/>
  <c r="L336" i="38"/>
  <c r="L79" i="41"/>
  <c r="L105" i="41"/>
  <c r="P520" i="38"/>
  <c r="Q520" i="38" s="1"/>
  <c r="P500" i="38"/>
  <c r="Q500" i="38" s="1"/>
  <c r="P480" i="38"/>
  <c r="Q480" i="38" s="1"/>
  <c r="P446" i="38"/>
  <c r="Q446" i="38" s="1"/>
  <c r="P426" i="38"/>
  <c r="Q426" i="38" s="1"/>
  <c r="P406" i="38"/>
  <c r="Q406" i="38" s="1"/>
  <c r="P386" i="38"/>
  <c r="Q386" i="38" s="1"/>
  <c r="P297" i="38"/>
  <c r="Q297" i="38" s="1"/>
  <c r="P42" i="38"/>
  <c r="Q42" i="38" s="1"/>
  <c r="L29" i="38"/>
  <c r="P20" i="38"/>
  <c r="Q20" i="38" s="1"/>
  <c r="L13" i="38"/>
  <c r="L63" i="38"/>
  <c r="N21" i="41"/>
  <c r="P290" i="38"/>
  <c r="Q290" i="38" s="1"/>
  <c r="P162" i="38"/>
  <c r="Q162" i="38" s="1"/>
  <c r="N50" i="38"/>
  <c r="P50" i="38" s="1"/>
  <c r="Q50" i="38" s="1"/>
  <c r="L81" i="41"/>
  <c r="L108" i="41"/>
  <c r="N29" i="41"/>
  <c r="P325" i="38"/>
  <c r="Q325" i="38" s="1"/>
  <c r="P283" i="38"/>
  <c r="Q283" i="38" s="1"/>
  <c r="P132" i="38"/>
  <c r="Q132" i="38" s="1"/>
  <c r="P112" i="38"/>
  <c r="Q112" i="38" s="1"/>
  <c r="P92" i="38"/>
  <c r="Q92" i="38" s="1"/>
  <c r="P72" i="38"/>
  <c r="Q72" i="38" s="1"/>
  <c r="P57" i="38"/>
  <c r="Q57" i="38" s="1"/>
  <c r="P28" i="38"/>
  <c r="Q28" i="38" s="1"/>
  <c r="L181" i="38"/>
  <c r="P217" i="38"/>
  <c r="Q217" i="38" s="1"/>
  <c r="L114" i="41"/>
  <c r="N114" i="41"/>
  <c r="H124" i="41"/>
  <c r="L84" i="41"/>
  <c r="L112" i="41"/>
  <c r="L63" i="41"/>
  <c r="L333" i="38"/>
  <c r="N333" i="38"/>
  <c r="P333" i="38" s="1"/>
  <c r="Q333" i="38" s="1"/>
  <c r="N146" i="38"/>
  <c r="P146" i="38" s="1"/>
  <c r="Q146" i="38" s="1"/>
  <c r="L148" i="38"/>
  <c r="N151" i="38"/>
  <c r="P151" i="38" s="1"/>
  <c r="Q151" i="38" s="1"/>
  <c r="L162" i="38"/>
  <c r="L88" i="41"/>
  <c r="P331" i="38"/>
  <c r="Q331" i="38" s="1"/>
  <c r="N184" i="38"/>
  <c r="P184" i="38" s="1"/>
  <c r="Q184" i="38" s="1"/>
  <c r="L184" i="38"/>
  <c r="L111" i="41"/>
  <c r="L194" i="38"/>
  <c r="N194" i="38"/>
  <c r="P194" i="38" s="1"/>
  <c r="Q194" i="38" s="1"/>
  <c r="L349" i="38"/>
  <c r="L57" i="38"/>
  <c r="N16" i="41"/>
  <c r="L64" i="41"/>
  <c r="N150" i="38"/>
  <c r="P150" i="38" s="1"/>
  <c r="Q150" i="38" s="1"/>
  <c r="L161" i="38"/>
  <c r="L13" i="41"/>
  <c r="N236" i="38"/>
  <c r="P236" i="38" s="1"/>
  <c r="Q236" i="38" s="1"/>
  <c r="P517" i="38"/>
  <c r="Q517" i="38" s="1"/>
  <c r="P497" i="38"/>
  <c r="Q497" i="38" s="1"/>
  <c r="P477" i="38"/>
  <c r="Q477" i="38" s="1"/>
  <c r="P463" i="38"/>
  <c r="Q463" i="38" s="1"/>
  <c r="P443" i="38"/>
  <c r="Q443" i="38" s="1"/>
  <c r="P423" i="38"/>
  <c r="Q423" i="38" s="1"/>
  <c r="P403" i="38"/>
  <c r="Q403" i="38" s="1"/>
  <c r="P383" i="38"/>
  <c r="Q383" i="38" s="1"/>
  <c r="P363" i="38"/>
  <c r="Q363" i="38" s="1"/>
  <c r="P349" i="38"/>
  <c r="Q349" i="38" s="1"/>
  <c r="P324" i="38"/>
  <c r="Q324" i="38" s="1"/>
  <c r="P289" i="38"/>
  <c r="Q289" i="38" s="1"/>
  <c r="P248" i="38"/>
  <c r="Q248" i="38" s="1"/>
  <c r="P139" i="38"/>
  <c r="Q139" i="38" s="1"/>
  <c r="P119" i="38"/>
  <c r="Q119" i="38" s="1"/>
  <c r="P99" i="38"/>
  <c r="Q99" i="38" s="1"/>
  <c r="P79" i="38"/>
  <c r="Q79" i="38" s="1"/>
  <c r="P29" i="38"/>
  <c r="Q29" i="38" s="1"/>
  <c r="P670" i="38"/>
  <c r="Q670" i="38" s="1"/>
  <c r="P659" i="38"/>
  <c r="Q659" i="38" s="1"/>
  <c r="P750" i="38"/>
  <c r="Q750" i="38" s="1"/>
  <c r="P772" i="38"/>
  <c r="Q772" i="38" s="1"/>
  <c r="Q1183" i="42"/>
  <c r="P637" i="38"/>
  <c r="Q637" i="38" s="1"/>
  <c r="P680" i="38"/>
  <c r="Q680" i="38" s="1"/>
  <c r="P749" i="38"/>
  <c r="Q749" i="38" s="1"/>
  <c r="P771" i="38"/>
  <c r="Q771" i="38" s="1"/>
  <c r="P707" i="38"/>
  <c r="Q707" i="38" s="1"/>
  <c r="P669" i="38"/>
  <c r="Q669" i="38" s="1"/>
  <c r="P657" i="38"/>
  <c r="Q657" i="38" s="1"/>
  <c r="P770" i="38"/>
  <c r="Q770" i="38" s="1"/>
  <c r="P706" i="38"/>
  <c r="Q706" i="38" s="1"/>
  <c r="Q1115" i="42"/>
  <c r="Q1085" i="42"/>
  <c r="Q1051" i="42"/>
  <c r="Q1027" i="42"/>
  <c r="Q1007" i="42"/>
  <c r="Q987" i="42"/>
  <c r="Q957" i="42"/>
  <c r="Q947" i="42"/>
  <c r="Q908" i="42"/>
  <c r="Q927" i="42"/>
  <c r="Q868" i="42"/>
  <c r="Q886" i="42"/>
  <c r="P652" i="38"/>
  <c r="Q652" i="38" s="1"/>
  <c r="P656" i="38"/>
  <c r="Q656" i="38" s="1"/>
  <c r="I917" i="38"/>
  <c r="P747" i="38"/>
  <c r="Q747" i="38" s="1"/>
  <c r="P705" i="38"/>
  <c r="Q705" i="38" s="1"/>
  <c r="P523" i="38"/>
  <c r="Q523" i="38" s="1"/>
  <c r="P503" i="38"/>
  <c r="Q503" i="38" s="1"/>
  <c r="P483" i="38"/>
  <c r="Q483" i="38" s="1"/>
  <c r="P449" i="38"/>
  <c r="Q449" i="38" s="1"/>
  <c r="P429" i="38"/>
  <c r="Q429" i="38" s="1"/>
  <c r="P409" i="38"/>
  <c r="Q409" i="38" s="1"/>
  <c r="P389" i="38"/>
  <c r="Q389" i="38" s="1"/>
  <c r="P369" i="38"/>
  <c r="Q369" i="38" s="1"/>
  <c r="P316" i="38"/>
  <c r="Q316" i="38" s="1"/>
  <c r="P309" i="38"/>
  <c r="Q309" i="38" s="1"/>
  <c r="P281" i="38"/>
  <c r="Q281" i="38" s="1"/>
  <c r="P260" i="38"/>
  <c r="Q260" i="38" s="1"/>
  <c r="P231" i="38"/>
  <c r="Q231" i="38" s="1"/>
  <c r="P209" i="38"/>
  <c r="Q209" i="38" s="1"/>
  <c r="P202" i="38"/>
  <c r="Q202" i="38" s="1"/>
  <c r="P168" i="38"/>
  <c r="Q168" i="38" s="1"/>
  <c r="P131" i="38"/>
  <c r="Q131" i="38" s="1"/>
  <c r="P111" i="38"/>
  <c r="Q111" i="38" s="1"/>
  <c r="P91" i="38"/>
  <c r="Q91" i="38" s="1"/>
  <c r="P71" i="38"/>
  <c r="Q71" i="38" s="1"/>
  <c r="P19" i="38"/>
  <c r="Q19" i="38" s="1"/>
  <c r="P18" i="40"/>
  <c r="Q18" i="40" s="1"/>
  <c r="P29" i="39"/>
  <c r="Q29" i="39" s="1"/>
  <c r="P634" i="38"/>
  <c r="Q634" i="38" s="1"/>
  <c r="P668" i="38"/>
  <c r="Q668" i="38" s="1"/>
  <c r="P655" i="38"/>
  <c r="Q655" i="38" s="1"/>
  <c r="P677" i="38"/>
  <c r="Q677" i="38" s="1"/>
  <c r="P746" i="38"/>
  <c r="Q746" i="38" s="1"/>
  <c r="P743" i="38"/>
  <c r="Q743" i="38" s="1"/>
  <c r="P723" i="38"/>
  <c r="Q723" i="38" s="1"/>
  <c r="P704" i="38"/>
  <c r="Q704" i="38" s="1"/>
  <c r="P435" i="38"/>
  <c r="Q435" i="38" s="1"/>
  <c r="P415" i="38"/>
  <c r="Q415" i="38" s="1"/>
  <c r="P395" i="38"/>
  <c r="Q395" i="38" s="1"/>
  <c r="P322" i="38"/>
  <c r="Q322" i="38" s="1"/>
  <c r="P301" i="38"/>
  <c r="Q301" i="38" s="1"/>
  <c r="P287" i="38"/>
  <c r="Q287" i="38" s="1"/>
  <c r="P273" i="38"/>
  <c r="Q273" i="38" s="1"/>
  <c r="P266" i="38"/>
  <c r="Q266" i="38" s="1"/>
  <c r="P201" i="38"/>
  <c r="Q201" i="38" s="1"/>
  <c r="P137" i="38"/>
  <c r="Q137" i="38" s="1"/>
  <c r="P117" i="38"/>
  <c r="Q117" i="38" s="1"/>
  <c r="P97" i="38"/>
  <c r="Q97" i="38" s="1"/>
  <c r="P77" i="38"/>
  <c r="Q77" i="38" s="1"/>
  <c r="P55" i="38"/>
  <c r="Q55" i="38" s="1"/>
  <c r="P47" i="38"/>
  <c r="Q47" i="38" s="1"/>
  <c r="Q223" i="42"/>
  <c r="P667" i="38"/>
  <c r="Q667" i="38" s="1"/>
  <c r="P694" i="38"/>
  <c r="Q694" i="38" s="1"/>
  <c r="P695" i="38"/>
  <c r="Q695" i="38" s="1"/>
  <c r="P766" i="38"/>
  <c r="Q766" i="38" s="1"/>
  <c r="P741" i="38"/>
  <c r="Q741" i="38" s="1"/>
  <c r="P721" i="38"/>
  <c r="Q721" i="38" s="1"/>
  <c r="P18" i="38"/>
  <c r="Q18" i="38" s="1"/>
  <c r="P631" i="38"/>
  <c r="Q631" i="38" s="1"/>
  <c r="P666" i="38"/>
  <c r="Q666" i="38" s="1"/>
  <c r="P785" i="38"/>
  <c r="Q785" i="38" s="1"/>
  <c r="P765" i="38"/>
  <c r="Q765" i="38" s="1"/>
  <c r="P740" i="38"/>
  <c r="Q740" i="38" s="1"/>
  <c r="P720" i="38"/>
  <c r="Q720" i="38" s="1"/>
  <c r="P701" i="38"/>
  <c r="Q701" i="38" s="1"/>
  <c r="L52" i="41"/>
  <c r="L82" i="41"/>
  <c r="L106" i="41"/>
  <c r="P495" i="38"/>
  <c r="Q495" i="38" s="1"/>
  <c r="P475" i="38"/>
  <c r="Q475" i="38" s="1"/>
  <c r="P461" i="38"/>
  <c r="Q461" i="38" s="1"/>
  <c r="P421" i="38"/>
  <c r="Q421" i="38" s="1"/>
  <c r="P381" i="38"/>
  <c r="Q381" i="38" s="1"/>
  <c r="P361" i="38"/>
  <c r="Q361" i="38" s="1"/>
  <c r="P346" i="38"/>
  <c r="Q346" i="38" s="1"/>
  <c r="P293" i="38"/>
  <c r="Q293" i="38" s="1"/>
  <c r="P252" i="38"/>
  <c r="Q252" i="38" s="1"/>
  <c r="P152" i="38"/>
  <c r="Q152" i="38" s="1"/>
  <c r="P143" i="38"/>
  <c r="Q143" i="38" s="1"/>
  <c r="P103" i="38"/>
  <c r="Q103" i="38" s="1"/>
  <c r="P83" i="38"/>
  <c r="Q83" i="38" s="1"/>
  <c r="P63" i="38"/>
  <c r="Q63" i="38" s="1"/>
  <c r="P10" i="40"/>
  <c r="Q10" i="40" s="1"/>
  <c r="P21" i="39"/>
  <c r="Q21" i="39" s="1"/>
  <c r="Q773" i="42"/>
  <c r="Q660" i="42"/>
  <c r="Q650" i="42"/>
  <c r="Q640" i="42"/>
  <c r="Q626" i="42"/>
  <c r="Q585" i="42"/>
  <c r="Q600" i="42"/>
  <c r="Q620" i="42"/>
  <c r="Q586" i="42"/>
  <c r="Q581" i="42"/>
  <c r="Q570" i="42"/>
  <c r="Q560" i="42"/>
  <c r="Q548" i="42"/>
  <c r="Q531" i="42"/>
  <c r="Q535" i="42"/>
  <c r="Q522" i="42"/>
  <c r="Q513" i="42"/>
  <c r="Q504" i="42"/>
  <c r="Q494" i="42"/>
  <c r="Q481" i="42"/>
  <c r="Q470" i="42"/>
  <c r="Q462" i="42"/>
  <c r="P692" i="38"/>
  <c r="Q692" i="38" s="1"/>
  <c r="P784" i="38"/>
  <c r="Q784" i="38" s="1"/>
  <c r="P764" i="38"/>
  <c r="Q764" i="38" s="1"/>
  <c r="P739" i="38"/>
  <c r="Q739" i="38" s="1"/>
  <c r="P719" i="38"/>
  <c r="Q719" i="38" s="1"/>
  <c r="P700" i="38"/>
  <c r="Q700" i="38" s="1"/>
  <c r="H60" i="40"/>
  <c r="P23" i="40"/>
  <c r="Q23" i="40" s="1"/>
  <c r="P646" i="38"/>
  <c r="Q646" i="38" s="1"/>
  <c r="P629" i="38"/>
  <c r="Q629" i="38" s="1"/>
  <c r="P699" i="38"/>
  <c r="Q699" i="38" s="1"/>
  <c r="P129" i="38"/>
  <c r="Q129" i="38" s="1"/>
  <c r="P109" i="38"/>
  <c r="Q109" i="38" s="1"/>
  <c r="P89" i="38"/>
  <c r="Q89" i="38" s="1"/>
  <c r="P69" i="38"/>
  <c r="Q69" i="38" s="1"/>
  <c r="P62" i="38"/>
  <c r="Q62" i="38" s="1"/>
  <c r="P39" i="38"/>
  <c r="Q39" i="38" s="1"/>
  <c r="P25" i="38"/>
  <c r="Q25" i="38" s="1"/>
  <c r="P37" i="40"/>
  <c r="Q37" i="40" s="1"/>
  <c r="P16" i="40"/>
  <c r="Q16" i="40" s="1"/>
  <c r="P27" i="39"/>
  <c r="Q27" i="39" s="1"/>
  <c r="J118" i="41"/>
  <c r="Q729" i="42"/>
  <c r="Q669" i="42"/>
  <c r="Q649" i="42"/>
  <c r="Q639" i="42"/>
  <c r="Q632" i="42"/>
  <c r="Q603" i="42"/>
  <c r="Q602" i="42"/>
  <c r="Q591" i="42"/>
  <c r="Q578" i="42"/>
  <c r="Q569" i="42"/>
  <c r="Q559" i="42"/>
  <c r="Q549" i="42"/>
  <c r="Q530" i="42"/>
  <c r="Q534" i="42"/>
  <c r="Q521" i="42"/>
  <c r="Q489" i="42"/>
  <c r="Q503" i="42"/>
  <c r="Q493" i="42"/>
  <c r="Q485" i="42"/>
  <c r="Q469" i="42"/>
  <c r="Q461" i="42"/>
  <c r="Q449" i="42"/>
  <c r="Q439" i="42"/>
  <c r="Q418" i="42"/>
  <c r="Q410" i="42"/>
  <c r="Q374" i="42"/>
  <c r="Q370" i="42"/>
  <c r="Q381" i="42"/>
  <c r="Q363" i="42"/>
  <c r="Q347" i="42"/>
  <c r="Q346" i="42"/>
  <c r="Q318" i="42"/>
  <c r="Q309" i="42"/>
  <c r="Q307" i="42"/>
  <c r="Q275" i="42"/>
  <c r="Q276" i="42"/>
  <c r="Q280" i="42"/>
  <c r="Q241" i="42"/>
  <c r="Q234" i="42"/>
  <c r="Q245" i="42"/>
  <c r="Q219" i="42"/>
  <c r="Q187" i="42"/>
  <c r="Q201" i="42"/>
  <c r="Q174" i="42"/>
  <c r="Q133" i="42"/>
  <c r="Q152" i="42"/>
  <c r="Q158" i="42"/>
  <c r="Q172" i="42"/>
  <c r="Q130" i="42"/>
  <c r="Q21" i="42"/>
  <c r="Q58" i="42"/>
  <c r="Q48" i="42"/>
  <c r="Q38" i="42"/>
  <c r="Q28" i="42"/>
  <c r="Q72" i="42"/>
  <c r="Q81" i="42"/>
  <c r="Q90" i="42"/>
  <c r="Q109" i="42"/>
  <c r="P645" i="38"/>
  <c r="Q645" i="38" s="1"/>
  <c r="P679" i="38"/>
  <c r="Q679" i="38" s="1"/>
  <c r="P737" i="38"/>
  <c r="Q737" i="38" s="1"/>
  <c r="P717" i="38"/>
  <c r="Q717" i="38" s="1"/>
  <c r="P698" i="38"/>
  <c r="Q698" i="38" s="1"/>
  <c r="P16" i="38"/>
  <c r="Q16" i="38" s="1"/>
  <c r="P9" i="38"/>
  <c r="Q9" i="38" s="1"/>
  <c r="P36" i="40"/>
  <c r="Q36" i="40" s="1"/>
  <c r="P22" i="40"/>
  <c r="Q22" i="40" s="1"/>
  <c r="P688" i="38"/>
  <c r="Q688" i="38" s="1"/>
  <c r="P780" i="38"/>
  <c r="Q780" i="38" s="1"/>
  <c r="P760" i="38"/>
  <c r="Q760" i="38" s="1"/>
  <c r="P696" i="38"/>
  <c r="Q696" i="38" s="1"/>
  <c r="P674" i="38"/>
  <c r="Q674" i="38" s="1"/>
  <c r="P734" i="38"/>
  <c r="Q734" i="38" s="1"/>
  <c r="P756" i="38"/>
  <c r="Q756" i="38" s="1"/>
  <c r="Q1548" i="42"/>
  <c r="P778" i="38"/>
  <c r="Q778" i="38" s="1"/>
  <c r="P758" i="38"/>
  <c r="Q758" i="38" s="1"/>
  <c r="P713" i="38"/>
  <c r="Q713" i="38" s="1"/>
  <c r="P625" i="38"/>
  <c r="Q625" i="38" s="1"/>
  <c r="P506" i="38"/>
  <c r="Q506" i="38" s="1"/>
  <c r="P486" i="38"/>
  <c r="Q486" i="38" s="1"/>
  <c r="P452" i="38"/>
  <c r="Q452" i="38" s="1"/>
  <c r="P432" i="38"/>
  <c r="Q432" i="38" s="1"/>
  <c r="P412" i="38"/>
  <c r="Q412" i="38" s="1"/>
  <c r="P392" i="38"/>
  <c r="Q392" i="38" s="1"/>
  <c r="P372" i="38"/>
  <c r="Q372" i="38" s="1"/>
  <c r="P319" i="38"/>
  <c r="Q319" i="38" s="1"/>
  <c r="P284" i="38"/>
  <c r="Q284" i="38" s="1"/>
  <c r="P270" i="38"/>
  <c r="Q270" i="38" s="1"/>
  <c r="P263" i="38"/>
  <c r="Q263" i="38" s="1"/>
  <c r="P74" i="38"/>
  <c r="Q74" i="38" s="1"/>
  <c r="P15" i="38"/>
  <c r="Q15" i="38" s="1"/>
  <c r="P8" i="38"/>
  <c r="P35" i="40"/>
  <c r="Q35" i="40" s="1"/>
  <c r="P21" i="40"/>
  <c r="Q21" i="40" s="1"/>
  <c r="P10" i="39"/>
  <c r="Q10" i="39" s="1"/>
  <c r="P755" i="38"/>
  <c r="Q755" i="38" s="1"/>
  <c r="P777" i="38"/>
  <c r="Q777" i="38" s="1"/>
  <c r="P757" i="38"/>
  <c r="Q757" i="38" s="1"/>
  <c r="Q261" i="42"/>
  <c r="Q254" i="42"/>
  <c r="Q248" i="42"/>
  <c r="Q231" i="42"/>
  <c r="Q244" i="42"/>
  <c r="Q216" i="42"/>
  <c r="Q192" i="42"/>
  <c r="Q212" i="42"/>
  <c r="Q178" i="42"/>
  <c r="Q140" i="42"/>
  <c r="Q149" i="42"/>
  <c r="Q165" i="42"/>
  <c r="Q169" i="42"/>
  <c r="Q126" i="42"/>
  <c r="P262" i="38"/>
  <c r="Q262" i="38" s="1"/>
  <c r="P233" i="38"/>
  <c r="Q233" i="38" s="1"/>
  <c r="P219" i="38"/>
  <c r="Q219" i="38" s="1"/>
  <c r="P211" i="38"/>
  <c r="Q211" i="38" s="1"/>
  <c r="P170" i="38"/>
  <c r="Q170" i="38" s="1"/>
  <c r="P133" i="38"/>
  <c r="Q133" i="38" s="1"/>
  <c r="P113" i="38"/>
  <c r="Q113" i="38" s="1"/>
  <c r="P93" i="38"/>
  <c r="Q93" i="38" s="1"/>
  <c r="P73" i="38"/>
  <c r="Q73" i="38" s="1"/>
  <c r="P43" i="38"/>
  <c r="Q43" i="38" s="1"/>
  <c r="P21" i="38"/>
  <c r="Q21" i="38" s="1"/>
  <c r="P34" i="40"/>
  <c r="Q34" i="40" s="1"/>
  <c r="P26" i="40"/>
  <c r="Q26" i="40" s="1"/>
  <c r="P20" i="40"/>
  <c r="Q20" i="40" s="1"/>
  <c r="P31" i="39"/>
  <c r="Q31" i="39" s="1"/>
  <c r="Q682" i="42"/>
  <c r="Q645" i="42"/>
  <c r="Q636" i="42"/>
  <c r="Q596" i="42"/>
  <c r="Q613" i="42"/>
  <c r="Q555" i="42"/>
  <c r="Q544" i="42"/>
  <c r="Q491" i="42"/>
  <c r="Q517" i="42"/>
  <c r="Q509" i="42"/>
  <c r="Q499" i="42"/>
  <c r="Q475" i="42"/>
  <c r="Q435" i="42"/>
  <c r="Q425" i="42"/>
  <c r="Q417" i="42"/>
  <c r="Q403" i="42"/>
  <c r="Q397" i="42"/>
  <c r="Q369" i="42"/>
  <c r="Q365" i="42"/>
  <c r="Q139" i="42"/>
  <c r="P640" i="38"/>
  <c r="Q640" i="38" s="1"/>
  <c r="P671" i="38"/>
  <c r="Q671" i="38" s="1"/>
  <c r="P683" i="38"/>
  <c r="Q683" i="38" s="1"/>
  <c r="P752" i="38"/>
  <c r="Q752" i="38" s="1"/>
  <c r="Q454" i="42"/>
  <c r="Q324" i="42"/>
  <c r="Q294" i="42"/>
  <c r="Q195" i="42"/>
  <c r="Q163" i="42"/>
  <c r="Q43" i="42"/>
  <c r="Q118" i="42"/>
  <c r="Q1184" i="42"/>
  <c r="Q1214" i="42"/>
  <c r="Q37" i="42"/>
  <c r="Q852" i="42"/>
  <c r="Q833" i="42"/>
  <c r="Q816" i="42"/>
  <c r="Q788" i="42"/>
  <c r="Q745" i="42"/>
  <c r="Q755" i="42"/>
  <c r="Q783" i="42"/>
  <c r="Q730" i="42"/>
  <c r="Q721" i="42"/>
  <c r="Q100" i="42"/>
  <c r="Q65" i="42"/>
  <c r="Q338" i="42"/>
  <c r="Q779" i="42"/>
  <c r="Q662" i="42"/>
  <c r="Q652" i="42"/>
  <c r="Q641" i="42"/>
  <c r="Q628" i="42"/>
  <c r="Q622" i="42"/>
  <c r="Q593" i="42"/>
  <c r="Q617" i="42"/>
  <c r="Q584" i="42"/>
  <c r="Q582" i="42"/>
  <c r="Q572" i="42"/>
  <c r="Q562" i="42"/>
  <c r="Q552" i="42"/>
  <c r="Q545" i="42"/>
  <c r="Q528" i="42"/>
  <c r="Q523" i="42"/>
  <c r="Q490" i="42"/>
  <c r="Q506" i="42"/>
  <c r="Q496" i="42"/>
  <c r="Q479" i="42"/>
  <c r="Q472" i="42"/>
  <c r="Q464" i="42"/>
  <c r="Q452" i="42"/>
  <c r="Q444" i="42"/>
  <c r="Q426" i="42"/>
  <c r="Q422" i="42"/>
  <c r="Q376" i="42"/>
  <c r="Q385" i="42"/>
  <c r="Q400" i="42"/>
  <c r="Q378" i="42"/>
  <c r="Q366" i="42"/>
  <c r="Q356" i="42"/>
  <c r="Q343" i="42"/>
  <c r="Q315" i="42"/>
  <c r="Q326" i="42"/>
  <c r="Q287" i="42"/>
  <c r="Q252" i="42"/>
  <c r="Q237" i="42"/>
  <c r="Q227" i="42"/>
  <c r="Q224" i="42"/>
  <c r="Q199" i="42"/>
  <c r="Q136" i="42"/>
  <c r="Q144" i="42"/>
  <c r="Q154" i="42"/>
  <c r="Q161" i="42"/>
  <c r="Q129" i="42"/>
  <c r="Q124" i="42"/>
  <c r="Q61" i="42"/>
  <c r="Q51" i="42"/>
  <c r="Q41" i="42"/>
  <c r="Q31" i="42"/>
  <c r="Q75" i="42"/>
  <c r="Q84" i="42"/>
  <c r="Q96" i="42"/>
  <c r="Q116" i="42"/>
  <c r="Q13" i="42"/>
  <c r="Q1272" i="42"/>
  <c r="Q1267" i="42"/>
  <c r="Q55" i="42"/>
  <c r="Q45" i="42"/>
  <c r="Q35" i="42"/>
  <c r="Q25" i="42"/>
  <c r="Q69" i="42"/>
  <c r="Q88" i="42"/>
  <c r="Q93" i="42"/>
  <c r="Q107" i="42"/>
  <c r="Q112" i="42"/>
  <c r="Q18" i="42"/>
  <c r="Q777" i="42"/>
  <c r="Q661" i="42"/>
  <c r="Q651" i="42"/>
  <c r="Q642" i="42"/>
  <c r="Q627" i="42"/>
  <c r="Q621" i="42"/>
  <c r="Q592" i="42"/>
  <c r="Q616" i="42"/>
  <c r="Q583" i="42"/>
  <c r="Q577" i="42"/>
  <c r="Q571" i="42"/>
  <c r="Q561" i="42"/>
  <c r="Q551" i="42"/>
  <c r="Q532" i="42"/>
  <c r="Q536" i="42"/>
  <c r="Q487" i="42"/>
  <c r="Q514" i="42"/>
  <c r="Q505" i="42"/>
  <c r="Q495" i="42"/>
  <c r="Q482" i="42"/>
  <c r="Q471" i="42"/>
  <c r="Q463" i="42"/>
  <c r="Q451" i="42"/>
  <c r="Q443" i="42"/>
  <c r="Q428" i="42"/>
  <c r="Q421" i="42"/>
  <c r="Q411" i="42"/>
  <c r="Q404" i="42"/>
  <c r="Q394" i="42"/>
  <c r="Q384" i="42"/>
  <c r="Q395" i="42"/>
  <c r="Q351" i="42"/>
  <c r="Q348" i="42"/>
  <c r="Q344" i="42"/>
  <c r="Q314" i="42"/>
  <c r="Q311" i="42"/>
  <c r="Q332" i="42"/>
  <c r="Q319" i="42"/>
  <c r="Q284" i="42"/>
  <c r="Q272" i="42"/>
  <c r="Q288" i="42"/>
  <c r="Q279" i="42"/>
  <c r="Q251" i="42"/>
  <c r="Q236" i="42"/>
  <c r="Q242" i="42"/>
  <c r="Q198" i="42"/>
  <c r="Q181" i="42"/>
  <c r="Q135" i="42"/>
  <c r="Q145" i="42"/>
  <c r="Q153" i="42"/>
  <c r="Q160" i="42"/>
  <c r="Q132" i="42"/>
  <c r="Q121" i="42"/>
  <c r="Q60" i="42"/>
  <c r="Q50" i="42"/>
  <c r="Q40" i="42"/>
  <c r="Q30" i="42"/>
  <c r="Q74" i="42"/>
  <c r="Q92" i="42"/>
  <c r="Q95" i="42"/>
  <c r="Q111" i="42"/>
  <c r="Q115" i="42"/>
  <c r="Q11" i="42"/>
  <c r="Q19" i="42"/>
  <c r="Q9" i="42"/>
  <c r="Q1535" i="42"/>
  <c r="Q1532" i="42"/>
  <c r="Q412" i="42"/>
  <c r="Q1511" i="42"/>
  <c r="Q1510" i="42"/>
  <c r="Q362" i="42"/>
  <c r="Q341" i="42"/>
  <c r="Q337" i="42"/>
  <c r="Q303" i="42"/>
  <c r="Q295" i="42"/>
  <c r="P714" i="38"/>
  <c r="Q714" i="38" s="1"/>
  <c r="Q264" i="42"/>
  <c r="Q312" i="42"/>
  <c r="Q316" i="42"/>
  <c r="Q268" i="42"/>
  <c r="Q182" i="42"/>
  <c r="Q77" i="42"/>
  <c r="Q256" i="42"/>
  <c r="Q226" i="42"/>
  <c r="Q196" i="42"/>
  <c r="Q211" i="42"/>
  <c r="Q177" i="42"/>
  <c r="Q285" i="42"/>
  <c r="Q1197" i="42"/>
  <c r="Q1228" i="42"/>
  <c r="Q678" i="42"/>
  <c r="Q1168" i="42"/>
  <c r="Q771" i="42"/>
  <c r="Q1144" i="42"/>
  <c r="Q1048" i="42"/>
  <c r="Q905" i="42"/>
  <c r="Q818" i="42"/>
  <c r="Q799" i="42"/>
  <c r="Q757" i="42"/>
  <c r="Q1139" i="42"/>
  <c r="Q1093" i="42"/>
  <c r="Q858" i="42"/>
  <c r="Q839" i="42"/>
  <c r="Q819" i="42"/>
  <c r="Q798" i="42"/>
  <c r="Q693" i="42"/>
  <c r="Q743" i="42"/>
  <c r="Q723" i="42"/>
  <c r="Q762" i="42"/>
  <c r="Q753" i="42"/>
  <c r="Q1224" i="42"/>
  <c r="Q812" i="42"/>
  <c r="Q1082" i="42"/>
  <c r="Q984" i="42"/>
  <c r="Q865" i="42"/>
  <c r="Q838" i="42"/>
  <c r="Q728" i="42"/>
  <c r="Q1138" i="42"/>
  <c r="Q232" i="42"/>
  <c r="Q1177" i="42"/>
  <c r="Q1189" i="42"/>
  <c r="Q1119" i="42"/>
  <c r="Q837" i="42"/>
  <c r="Q785" i="42"/>
  <c r="Q724" i="42"/>
  <c r="Q1062" i="42"/>
  <c r="Q954" i="42"/>
  <c r="Q859" i="42"/>
  <c r="Q748" i="42"/>
  <c r="Q864" i="42"/>
  <c r="Q732" i="42"/>
  <c r="Q1090" i="42"/>
  <c r="Q1024" i="42"/>
  <c r="Q944" i="42"/>
  <c r="Q711" i="42"/>
  <c r="Q845" i="42"/>
  <c r="Q686" i="42"/>
  <c r="Q1112" i="42"/>
  <c r="Q1004" i="42"/>
  <c r="Q924" i="42"/>
  <c r="Q735" i="42"/>
  <c r="Q1515" i="42"/>
  <c r="Q846" i="42"/>
  <c r="Q823" i="42"/>
  <c r="Q784" i="42"/>
  <c r="Q738" i="42"/>
  <c r="Q763" i="42"/>
  <c r="Q775" i="42"/>
  <c r="Q672" i="42"/>
  <c r="Q907" i="42"/>
  <c r="Q844" i="42"/>
  <c r="Q813" i="42"/>
  <c r="Q1049" i="42"/>
  <c r="Q906" i="42"/>
  <c r="Q1160" i="42"/>
  <c r="Q841" i="42"/>
  <c r="Q766" i="42"/>
  <c r="Q1220" i="42"/>
  <c r="Q1002" i="42"/>
  <c r="Q952" i="42"/>
  <c r="Q903" i="42"/>
  <c r="Q901" i="42"/>
  <c r="Q843" i="42"/>
  <c r="Q801" i="42"/>
  <c r="Q706" i="42"/>
  <c r="Q781" i="42"/>
  <c r="Q1164" i="42"/>
  <c r="Q1245" i="42"/>
  <c r="Q955" i="42"/>
  <c r="Q866" i="42"/>
  <c r="Q1143" i="42"/>
  <c r="Q717" i="42"/>
  <c r="Q1142" i="42"/>
  <c r="Q1165" i="42"/>
  <c r="Q1246" i="42"/>
  <c r="Q1141" i="42"/>
  <c r="Q1095" i="42"/>
  <c r="Q1110" i="42"/>
  <c r="Q1060" i="42"/>
  <c r="Q1046" i="42"/>
  <c r="Q1022" i="42"/>
  <c r="Q982" i="42"/>
  <c r="Q942" i="42"/>
  <c r="Q883" i="42"/>
  <c r="Q861" i="42"/>
  <c r="Q820" i="42"/>
  <c r="Q703" i="42"/>
  <c r="Q736" i="42"/>
  <c r="Q752" i="42"/>
  <c r="Q759" i="42"/>
  <c r="Q1162" i="42"/>
  <c r="Q1211" i="42"/>
  <c r="Q1219" i="42"/>
  <c r="Q1140" i="42"/>
  <c r="Q1094" i="42"/>
  <c r="Q1109" i="42"/>
  <c r="Q1079" i="42"/>
  <c r="Q1059" i="42"/>
  <c r="Q1045" i="42"/>
  <c r="Q1021" i="42"/>
  <c r="Q1001" i="42"/>
  <c r="Q981" i="42"/>
  <c r="Q971" i="42"/>
  <c r="Q922" i="42"/>
  <c r="Q941" i="42"/>
  <c r="Q882" i="42"/>
  <c r="Q900" i="42"/>
  <c r="Q860" i="42"/>
  <c r="Q842" i="42"/>
  <c r="Q821" i="42"/>
  <c r="Q800" i="42"/>
  <c r="Q702" i="42"/>
  <c r="Q744" i="42"/>
  <c r="Q712" i="42"/>
  <c r="Q754" i="42"/>
  <c r="Q765" i="42"/>
  <c r="Q707" i="42"/>
  <c r="Q1161" i="42"/>
  <c r="Q1195" i="42"/>
  <c r="Q1204" i="42"/>
  <c r="Q1244" i="42"/>
  <c r="Q1269" i="42"/>
  <c r="Q1286" i="42"/>
  <c r="Q1005" i="42"/>
  <c r="Q925" i="42"/>
  <c r="Q685" i="42"/>
  <c r="Q1058" i="42"/>
  <c r="Q980" i="42"/>
  <c r="Q899" i="42"/>
  <c r="Q1107" i="42"/>
  <c r="Q1077" i="42"/>
  <c r="Q1057" i="42"/>
  <c r="Q1043" i="42"/>
  <c r="Q1019" i="42"/>
  <c r="Q999" i="42"/>
  <c r="Q979" i="42"/>
  <c r="Q969" i="42"/>
  <c r="Q920" i="42"/>
  <c r="Q939" i="42"/>
  <c r="Q880" i="42"/>
  <c r="Q898" i="42"/>
  <c r="Q1076" i="42"/>
  <c r="Q1042" i="42"/>
  <c r="Q1018" i="42"/>
  <c r="Q998" i="42"/>
  <c r="Q978" i="42"/>
  <c r="Q968" i="42"/>
  <c r="Q919" i="42"/>
  <c r="Q938" i="42"/>
  <c r="Q879" i="42"/>
  <c r="Q897" i="42"/>
  <c r="Q142" i="42"/>
  <c r="Q151" i="42"/>
  <c r="Q171" i="42"/>
  <c r="Q128" i="42"/>
  <c r="Q57" i="42"/>
  <c r="Q27" i="42"/>
  <c r="Q71" i="42"/>
  <c r="Q694" i="42"/>
  <c r="Q1124" i="42"/>
  <c r="Q808" i="42"/>
  <c r="Q796" i="42"/>
  <c r="Q691" i="42"/>
  <c r="Q674" i="42"/>
  <c r="Q701" i="42"/>
  <c r="Q760" i="42"/>
  <c r="Q1257" i="42"/>
  <c r="Q1264" i="42"/>
  <c r="Q1320" i="42"/>
  <c r="Q1438" i="42"/>
  <c r="Q986" i="42"/>
  <c r="Q1089" i="42"/>
  <c r="Q921" i="42"/>
  <c r="Q696" i="42"/>
  <c r="Q1104" i="42"/>
  <c r="Q1074" i="42"/>
  <c r="Q1039" i="42"/>
  <c r="Q1040" i="42"/>
  <c r="Q1016" i="42"/>
  <c r="Q996" i="42"/>
  <c r="Q976" i="42"/>
  <c r="Q966" i="42"/>
  <c r="Q917" i="42"/>
  <c r="Q936" i="42"/>
  <c r="Q877" i="42"/>
  <c r="Q895" i="42"/>
  <c r="Q684" i="42"/>
  <c r="Q667" i="42"/>
  <c r="Q657" i="42"/>
  <c r="Q647" i="42"/>
  <c r="Q637" i="42"/>
  <c r="Q630" i="42"/>
  <c r="Q598" i="42"/>
  <c r="Q607" i="42"/>
  <c r="Q615" i="42"/>
  <c r="Q589" i="42"/>
  <c r="Q579" i="42"/>
  <c r="Q567" i="42"/>
  <c r="Q557" i="42"/>
  <c r="Q547" i="42"/>
  <c r="Q540" i="42"/>
  <c r="Q527" i="42"/>
  <c r="Q519" i="42"/>
  <c r="Q511" i="42"/>
  <c r="Q501" i="42"/>
  <c r="Q488" i="42"/>
  <c r="Q477" i="42"/>
  <c r="Q467" i="42"/>
  <c r="Q457" i="42"/>
  <c r="Q447" i="42"/>
  <c r="Q437" i="42"/>
  <c r="Q430" i="42"/>
  <c r="Q415" i="42"/>
  <c r="Q407" i="42"/>
  <c r="Q390" i="42"/>
  <c r="Q373" i="42"/>
  <c r="Q367" i="42"/>
  <c r="Q380" i="42"/>
  <c r="Q349" i="42"/>
  <c r="Q359" i="42"/>
  <c r="Q335" i="42"/>
  <c r="Q329" i="42"/>
  <c r="Q321" i="42"/>
  <c r="Q305" i="42"/>
  <c r="Q297" i="42"/>
  <c r="Q273" i="42"/>
  <c r="Q289" i="42"/>
  <c r="Q262" i="42"/>
  <c r="Q286" i="42"/>
  <c r="Q249" i="42"/>
  <c r="Q240" i="42"/>
  <c r="Q217" i="42"/>
  <c r="Q189" i="42"/>
  <c r="Q209" i="42"/>
  <c r="Q179" i="42"/>
  <c r="Q141" i="42"/>
  <c r="Q150" i="42"/>
  <c r="Q156" i="42"/>
  <c r="Q170" i="42"/>
  <c r="Q127" i="42"/>
  <c r="Q66" i="42"/>
  <c r="Q56" i="42"/>
  <c r="Q46" i="42"/>
  <c r="Q36" i="42"/>
  <c r="Q26" i="42"/>
  <c r="Q70" i="42"/>
  <c r="Q83" i="42"/>
  <c r="Q94" i="42"/>
  <c r="Q108" i="42"/>
  <c r="Q113" i="42"/>
  <c r="Q16" i="42"/>
  <c r="Q1256" i="42"/>
  <c r="Q1263" i="42"/>
  <c r="Q687" i="42"/>
  <c r="Q956" i="42"/>
  <c r="Q851" i="42"/>
  <c r="Q793" i="42"/>
  <c r="Q680" i="42"/>
  <c r="Q733" i="42"/>
  <c r="Q727" i="42"/>
  <c r="Q715" i="42"/>
  <c r="Q676" i="42"/>
  <c r="Q1218" i="42"/>
  <c r="Q1261" i="42"/>
  <c r="Q1297" i="42"/>
  <c r="Q1280" i="42"/>
  <c r="Q1084" i="42"/>
  <c r="Q1006" i="42"/>
  <c r="Q884" i="42"/>
  <c r="Q679" i="42"/>
  <c r="Q1025" i="42"/>
  <c r="Q836" i="42"/>
  <c r="Q770" i="42"/>
  <c r="Q1044" i="42"/>
  <c r="Q970" i="42"/>
  <c r="Q856" i="42"/>
  <c r="Q1153" i="42"/>
  <c r="Q1121" i="42"/>
  <c r="Q829" i="42"/>
  <c r="Q1071" i="42"/>
  <c r="Q1036" i="42"/>
  <c r="Q1033" i="42"/>
  <c r="Q1013" i="42"/>
  <c r="Q993" i="42"/>
  <c r="Q973" i="42"/>
  <c r="Q963" i="42"/>
  <c r="Q914" i="42"/>
  <c r="Q933" i="42"/>
  <c r="Q874" i="42"/>
  <c r="Q892" i="42"/>
  <c r="Q1217" i="42"/>
  <c r="Q1206" i="42"/>
  <c r="Q1215" i="42"/>
  <c r="Q1279" i="42"/>
  <c r="Q1091" i="42"/>
  <c r="Q1026" i="42"/>
  <c r="Q926" i="42"/>
  <c r="Q786" i="42"/>
  <c r="Q1063" i="42"/>
  <c r="Q945" i="42"/>
  <c r="Q863" i="42"/>
  <c r="Q811" i="42"/>
  <c r="Q671" i="42"/>
  <c r="Q1108" i="42"/>
  <c r="Q1020" i="42"/>
  <c r="Q940" i="42"/>
  <c r="Q831" i="42"/>
  <c r="Q805" i="42"/>
  <c r="Q849" i="42"/>
  <c r="Q828" i="42"/>
  <c r="Q803" i="42"/>
  <c r="Q791" i="42"/>
  <c r="Q741" i="42"/>
  <c r="Q768" i="42"/>
  <c r="Q689" i="42"/>
  <c r="Q710" i="42"/>
  <c r="Q713" i="42"/>
  <c r="Q148" i="42"/>
  <c r="Q164" i="42"/>
  <c r="Q168" i="42"/>
  <c r="Q125" i="42"/>
  <c r="Q64" i="42"/>
  <c r="Q54" i="42"/>
  <c r="Q44" i="42"/>
  <c r="Q34" i="42"/>
  <c r="Q24" i="42"/>
  <c r="Q68" i="42"/>
  <c r="Q87" i="42"/>
  <c r="Q99" i="42"/>
  <c r="Q106" i="42"/>
  <c r="Q119" i="42"/>
  <c r="Q15" i="42"/>
  <c r="Q1278" i="42"/>
  <c r="I2110" i="42"/>
  <c r="Q1064" i="42"/>
  <c r="Q946" i="42"/>
  <c r="Q867" i="42"/>
  <c r="Q822" i="42"/>
  <c r="Q737" i="42"/>
  <c r="Q725" i="42"/>
  <c r="Q1113" i="42"/>
  <c r="Q985" i="42"/>
  <c r="Q670" i="42"/>
  <c r="Q1078" i="42"/>
  <c r="Q1000" i="42"/>
  <c r="Q881" i="42"/>
  <c r="Q1099" i="42"/>
  <c r="Q1055" i="42"/>
  <c r="Q951" i="42"/>
  <c r="Q872" i="42"/>
  <c r="Q1178" i="42"/>
  <c r="Q990" i="42"/>
  <c r="Q508" i="42"/>
  <c r="Q396" i="42"/>
  <c r="Q302" i="42"/>
  <c r="Q255" i="42"/>
  <c r="Q221" i="42"/>
  <c r="Q138" i="42"/>
  <c r="Q33" i="42"/>
  <c r="Q23" i="42"/>
  <c r="Q797" i="42"/>
  <c r="Q761" i="42"/>
  <c r="Q747" i="42"/>
  <c r="P32" i="39"/>
  <c r="Q32" i="39" s="1"/>
  <c r="Q300" i="42"/>
  <c r="Q162" i="42"/>
  <c r="Q97" i="42"/>
  <c r="Q1296" i="42"/>
  <c r="Q1392" i="42"/>
  <c r="Q1448" i="42"/>
  <c r="Q1284" i="42"/>
  <c r="Q1428" i="42"/>
  <c r="Q1409" i="42"/>
  <c r="Q1389" i="42"/>
  <c r="Q1369" i="42"/>
  <c r="Q1347" i="42"/>
  <c r="Q1327" i="42"/>
  <c r="Q1406" i="42"/>
  <c r="Q1366" i="42"/>
  <c r="Q1324" i="42"/>
  <c r="Q1434" i="42"/>
  <c r="Q1454" i="42"/>
  <c r="Q1474" i="42"/>
  <c r="Q1174" i="42"/>
  <c r="Q1186" i="42"/>
  <c r="Q790" i="42"/>
  <c r="Q709" i="42"/>
  <c r="Q802" i="42"/>
  <c r="Q740" i="42"/>
  <c r="Q688" i="42"/>
  <c r="Q704" i="42"/>
  <c r="Q853" i="42"/>
  <c r="Q525" i="42"/>
  <c r="Q1541" i="42"/>
  <c r="P177" i="38"/>
  <c r="Q177" i="38" s="1"/>
  <c r="Q850" i="42"/>
  <c r="Q825" i="42"/>
  <c r="Q804" i="42"/>
  <c r="Q746" i="42"/>
  <c r="Q1262" i="42"/>
  <c r="Q1393" i="42"/>
  <c r="Q1331" i="42"/>
  <c r="Q1311" i="42"/>
  <c r="Q1427" i="42"/>
  <c r="Q1447" i="42"/>
  <c r="Q1358" i="42"/>
  <c r="I2126" i="42"/>
  <c r="Q1148" i="42"/>
  <c r="Q1128" i="42"/>
  <c r="Q1054" i="42"/>
  <c r="Q1030" i="42"/>
  <c r="Q960" i="42"/>
  <c r="Q911" i="42"/>
  <c r="Q789" i="42"/>
  <c r="Q772" i="42"/>
  <c r="Q751" i="42"/>
  <c r="Q708" i="42"/>
  <c r="Q720" i="42"/>
  <c r="Q664" i="42"/>
  <c r="Q654" i="42"/>
  <c r="Q644" i="42"/>
  <c r="Q634" i="42"/>
  <c r="Q624" i="42"/>
  <c r="Q595" i="42"/>
  <c r="Q619" i="42"/>
  <c r="Q612" i="42"/>
  <c r="Q606" i="42"/>
  <c r="Q575" i="42"/>
  <c r="Q564" i="42"/>
  <c r="Q554" i="42"/>
  <c r="Q543" i="42"/>
  <c r="Q529" i="42"/>
  <c r="Q516" i="42"/>
  <c r="Q498" i="42"/>
  <c r="Q483" i="42"/>
  <c r="Q474" i="42"/>
  <c r="Q459" i="42"/>
  <c r="Q442" i="42"/>
  <c r="Q434" i="42"/>
  <c r="Q424" i="42"/>
  <c r="Q416" i="42"/>
  <c r="Q388" i="42"/>
  <c r="Q402" i="42"/>
  <c r="Q392" i="42"/>
  <c r="Q364" i="42"/>
  <c r="Q361" i="42"/>
  <c r="Q340" i="42"/>
  <c r="Q333" i="42"/>
  <c r="Q299" i="42"/>
  <c r="Q292" i="42"/>
  <c r="Q270" i="42"/>
  <c r="Q259" i="42"/>
  <c r="Q239" i="42"/>
  <c r="Q229" i="42"/>
  <c r="Q214" i="42"/>
  <c r="Q183" i="42"/>
  <c r="Q176" i="42"/>
  <c r="Q147" i="42"/>
  <c r="Q167" i="42"/>
  <c r="Q123" i="42"/>
  <c r="Q63" i="42"/>
  <c r="Q53" i="42"/>
  <c r="Q79" i="42"/>
  <c r="Q86" i="42"/>
  <c r="Q98" i="42"/>
  <c r="Q105" i="42"/>
  <c r="Q14" i="42"/>
  <c r="Q1265" i="42"/>
  <c r="Q1370" i="42"/>
  <c r="Q1348" i="42"/>
  <c r="Q1450" i="42"/>
  <c r="Q1470" i="42"/>
  <c r="Q1307" i="42"/>
  <c r="Q1431" i="42"/>
  <c r="Q1451" i="42"/>
  <c r="Q1471" i="42"/>
  <c r="Q1116" i="42"/>
  <c r="Q1086" i="42"/>
  <c r="Q1066" i="42"/>
  <c r="Q1052" i="42"/>
  <c r="Q1028" i="42"/>
  <c r="Q1008" i="42"/>
  <c r="Q988" i="42"/>
  <c r="Q958" i="42"/>
  <c r="Q948" i="42"/>
  <c r="Q909" i="42"/>
  <c r="Q928" i="42"/>
  <c r="Q869" i="42"/>
  <c r="Q887" i="42"/>
  <c r="Q780" i="42"/>
  <c r="Q663" i="42"/>
  <c r="Q653" i="42"/>
  <c r="Q643" i="42"/>
  <c r="Q633" i="42"/>
  <c r="Q623" i="42"/>
  <c r="Q594" i="42"/>
  <c r="Q618" i="42"/>
  <c r="Q608" i="42"/>
  <c r="Q611" i="42"/>
  <c r="Q573" i="42"/>
  <c r="Q563" i="42"/>
  <c r="Q553" i="42"/>
  <c r="Q542" i="42"/>
  <c r="Q537" i="42"/>
  <c r="Q507" i="42"/>
  <c r="Q497" i="42"/>
  <c r="Q480" i="42"/>
  <c r="Q473" i="42"/>
  <c r="Q458" i="42"/>
  <c r="Q453" i="42"/>
  <c r="Q441" i="42"/>
  <c r="Q427" i="42"/>
  <c r="Q423" i="42"/>
  <c r="Q413" i="42"/>
  <c r="Q387" i="42"/>
  <c r="Q401" i="42"/>
  <c r="Q372" i="42"/>
  <c r="Q352" i="42"/>
  <c r="Q360" i="42"/>
  <c r="Q339" i="42"/>
  <c r="Q336" i="42"/>
  <c r="Q327" i="42"/>
  <c r="Q301" i="42"/>
  <c r="Q293" i="42"/>
  <c r="Q291" i="42"/>
  <c r="Q269" i="42"/>
  <c r="Q267" i="42"/>
  <c r="Q253" i="42"/>
  <c r="Q238" i="42"/>
  <c r="Q228" i="42"/>
  <c r="Q220" i="42"/>
  <c r="Q213" i="42"/>
  <c r="Q194" i="42"/>
  <c r="Q184" i="42"/>
  <c r="Q137" i="42"/>
  <c r="Q143" i="42"/>
  <c r="Q155" i="42"/>
  <c r="Q166" i="42"/>
  <c r="Q122" i="42"/>
  <c r="Q62" i="42"/>
  <c r="Q42" i="42"/>
  <c r="Q32" i="42"/>
  <c r="Q22" i="42"/>
  <c r="Q78" i="42"/>
  <c r="Q85" i="42"/>
  <c r="Q104" i="42"/>
  <c r="Q117" i="42"/>
  <c r="Q12" i="42"/>
  <c r="Q1233" i="42"/>
  <c r="P733" i="38"/>
  <c r="Q733" i="38" s="1"/>
  <c r="Q1365" i="42"/>
  <c r="Q1323" i="42"/>
  <c r="Q1159" i="42"/>
  <c r="Q1199" i="42"/>
  <c r="Q1227" i="42"/>
  <c r="Q1223" i="42"/>
  <c r="Q1277" i="42"/>
  <c r="Q1503" i="42"/>
  <c r="Q1385" i="42"/>
  <c r="Q1435" i="42"/>
  <c r="Q1096" i="42"/>
  <c r="Q1111" i="42"/>
  <c r="Q1081" i="42"/>
  <c r="Q1061" i="42"/>
  <c r="Q1047" i="42"/>
  <c r="Q1023" i="42"/>
  <c r="Q1003" i="42"/>
  <c r="Q983" i="42"/>
  <c r="Q953" i="42"/>
  <c r="Q943" i="42"/>
  <c r="Q904" i="42"/>
  <c r="Q923" i="42"/>
  <c r="Q902" i="42"/>
  <c r="Q862" i="42"/>
  <c r="Q840" i="42"/>
  <c r="Q835" i="42"/>
  <c r="Q810" i="42"/>
  <c r="Q764" i="42"/>
  <c r="Q769" i="42"/>
  <c r="Q716" i="42"/>
  <c r="Q758" i="42"/>
  <c r="Q782" i="42"/>
  <c r="Q750" i="42"/>
  <c r="Q1166" i="42"/>
  <c r="Q1213" i="42"/>
  <c r="Q1226" i="42"/>
  <c r="Q1222" i="42"/>
  <c r="Q1293" i="42"/>
  <c r="Q1276" i="42"/>
  <c r="Q1403" i="42"/>
  <c r="Q1383" i="42"/>
  <c r="Q1363" i="42"/>
  <c r="Q1341" i="42"/>
  <c r="Q1437" i="42"/>
  <c r="Q1457" i="42"/>
  <c r="Q450" i="42"/>
  <c r="Q440" i="42"/>
  <c r="Q429" i="42"/>
  <c r="Q420" i="42"/>
  <c r="Q409" i="42"/>
  <c r="Q375" i="42"/>
  <c r="Q393" i="42"/>
  <c r="Q383" i="42"/>
  <c r="Q399" i="42"/>
  <c r="Q358" i="42"/>
  <c r="Q355" i="42"/>
  <c r="Q345" i="42"/>
  <c r="Q313" i="42"/>
  <c r="Q310" i="42"/>
  <c r="Q308" i="42"/>
  <c r="Q325" i="42"/>
  <c r="Q265" i="42"/>
  <c r="Q271" i="42"/>
  <c r="Q281" i="42"/>
  <c r="Q258" i="42"/>
  <c r="Q250" i="42"/>
  <c r="Q235" i="42"/>
  <c r="Q243" i="42"/>
  <c r="Q222" i="42"/>
  <c r="Q188" i="42"/>
  <c r="Q197" i="42"/>
  <c r="Q180" i="42"/>
  <c r="Q134" i="42"/>
  <c r="Q146" i="42"/>
  <c r="Q159" i="42"/>
  <c r="Q173" i="42"/>
  <c r="Q131" i="42"/>
  <c r="Q120" i="42"/>
  <c r="Q59" i="42"/>
  <c r="Q49" i="42"/>
  <c r="Q39" i="42"/>
  <c r="Q29" i="42"/>
  <c r="Q73" i="42"/>
  <c r="Q80" i="42"/>
  <c r="Q91" i="42"/>
  <c r="Q101" i="42"/>
  <c r="Q110" i="42"/>
  <c r="Q67" i="42"/>
  <c r="Q10" i="42"/>
  <c r="Q1275" i="42"/>
  <c r="Q1340" i="42"/>
  <c r="Q1478" i="42"/>
  <c r="Q1274" i="42"/>
  <c r="Q1381" i="42"/>
  <c r="Q1361" i="42"/>
  <c r="Q1299" i="42"/>
  <c r="Q1273" i="42"/>
  <c r="Q1400" i="42"/>
  <c r="Q1298" i="42"/>
  <c r="Q1460" i="42"/>
  <c r="Q1480" i="42"/>
  <c r="Q1158" i="42"/>
  <c r="Q1419" i="42"/>
  <c r="Q1399" i="42"/>
  <c r="Q1379" i="42"/>
  <c r="Q1337" i="42"/>
  <c r="Q1317" i="42"/>
  <c r="Q1441" i="42"/>
  <c r="Q1461" i="42"/>
  <c r="Q1546" i="42"/>
  <c r="P15" i="39"/>
  <c r="Q15" i="39" s="1"/>
  <c r="Q1156" i="42"/>
  <c r="Q1136" i="42"/>
  <c r="Q1125" i="42"/>
  <c r="Q857" i="42"/>
  <c r="Q809" i="42"/>
  <c r="Q692" i="42"/>
  <c r="Q697" i="42"/>
  <c r="Q675" i="42"/>
  <c r="Q668" i="42"/>
  <c r="Q605" i="42"/>
  <c r="Q512" i="42"/>
  <c r="Q290" i="42"/>
  <c r="Q190" i="42"/>
  <c r="Q210" i="42"/>
  <c r="Q157" i="42"/>
  <c r="Q20" i="42"/>
  <c r="Q82" i="42"/>
  <c r="Q89" i="42"/>
  <c r="Q102" i="42"/>
  <c r="Q114" i="42"/>
  <c r="Q17" i="42"/>
  <c r="Q8" i="42"/>
  <c r="Q1180" i="42"/>
  <c r="Q1202" i="42"/>
  <c r="Q1255" i="42"/>
  <c r="Q1157" i="42"/>
  <c r="Q1289" i="42"/>
  <c r="Q1398" i="42"/>
  <c r="Q1442" i="42"/>
  <c r="Q1462" i="42"/>
  <c r="Q1545" i="42"/>
  <c r="Q1155" i="42"/>
  <c r="Q1135" i="42"/>
  <c r="Q1105" i="42"/>
  <c r="Q1075" i="42"/>
  <c r="Q1087" i="42"/>
  <c r="Q1041" i="42"/>
  <c r="Q1017" i="42"/>
  <c r="Q997" i="42"/>
  <c r="Q977" i="42"/>
  <c r="Q967" i="42"/>
  <c r="Q918" i="42"/>
  <c r="Q937" i="42"/>
  <c r="Q878" i="42"/>
  <c r="Q896" i="42"/>
  <c r="Q1179" i="42"/>
  <c r="Q1192" i="42"/>
  <c r="Q1201" i="42"/>
  <c r="Q1270" i="42"/>
  <c r="Q1377" i="42"/>
  <c r="Q1355" i="42"/>
  <c r="Q1315" i="42"/>
  <c r="Q1423" i="42"/>
  <c r="Q1443" i="42"/>
  <c r="Q1463" i="42"/>
  <c r="Q1544" i="42"/>
  <c r="Q1154" i="42"/>
  <c r="Q1134" i="42"/>
  <c r="Q855" i="42"/>
  <c r="Q830" i="42"/>
  <c r="Q807" i="42"/>
  <c r="Q795" i="42"/>
  <c r="Q690" i="42"/>
  <c r="Q695" i="42"/>
  <c r="Q778" i="42"/>
  <c r="Q700" i="42"/>
  <c r="Q699" i="42"/>
  <c r="Q1241" i="42"/>
  <c r="P673" i="38"/>
  <c r="Q673" i="38" s="1"/>
  <c r="Q1416" i="42"/>
  <c r="Q1543" i="42"/>
  <c r="Q1122" i="42"/>
  <c r="Q1103" i="42"/>
  <c r="Q1038" i="42"/>
  <c r="Q1035" i="42"/>
  <c r="Q1015" i="42"/>
  <c r="Q995" i="42"/>
  <c r="Q975" i="42"/>
  <c r="Q965" i="42"/>
  <c r="Q916" i="42"/>
  <c r="Q935" i="42"/>
  <c r="Q876" i="42"/>
  <c r="Q894" i="42"/>
  <c r="Q854" i="42"/>
  <c r="Q826" i="42"/>
  <c r="Q806" i="42"/>
  <c r="Q794" i="42"/>
  <c r="Q681" i="42"/>
  <c r="Q734" i="42"/>
  <c r="Q731" i="42"/>
  <c r="Q677" i="42"/>
  <c r="Q698" i="42"/>
  <c r="Q1240" i="42"/>
  <c r="Q1268" i="42"/>
  <c r="Q1415" i="42"/>
  <c r="Q1353" i="42"/>
  <c r="Q1542" i="42"/>
  <c r="P774" i="38"/>
  <c r="Q774" i="38" s="1"/>
  <c r="P709" i="38"/>
  <c r="Q709" i="38" s="1"/>
  <c r="P218" i="38"/>
  <c r="Q218" i="38" s="1"/>
  <c r="Q1291" i="42"/>
  <c r="Q774" i="42"/>
  <c r="Q658" i="42"/>
  <c r="Q648" i="42"/>
  <c r="Q638" i="42"/>
  <c r="Q631" i="42"/>
  <c r="Q599" i="42"/>
  <c r="Q604" i="42"/>
  <c r="Q590" i="42"/>
  <c r="Q568" i="42"/>
  <c r="Q558" i="42"/>
  <c r="Q550" i="42"/>
  <c r="Q541" i="42"/>
  <c r="Q533" i="42"/>
  <c r="Q520" i="42"/>
  <c r="Q502" i="42"/>
  <c r="Q492" i="42"/>
  <c r="Q478" i="42"/>
  <c r="Q468" i="42"/>
  <c r="Q460" i="42"/>
  <c r="Q448" i="42"/>
  <c r="Q438" i="42"/>
  <c r="Q431" i="42"/>
  <c r="Q419" i="42"/>
  <c r="Q408" i="42"/>
  <c r="Q377" i="42"/>
  <c r="Q371" i="42"/>
  <c r="Q382" i="42"/>
  <c r="Q391" i="42"/>
  <c r="Q350" i="42"/>
  <c r="Q354" i="42"/>
  <c r="Q320" i="42"/>
  <c r="Q317" i="42"/>
  <c r="Q306" i="42"/>
  <c r="Q298" i="42"/>
  <c r="Q274" i="42"/>
  <c r="Q263" i="42"/>
  <c r="Q266" i="42"/>
  <c r="Q246" i="42"/>
  <c r="Q233" i="42"/>
  <c r="Q247" i="42"/>
  <c r="Q218" i="42"/>
  <c r="Q885" i="42"/>
  <c r="P773" i="38"/>
  <c r="Q773" i="38" s="1"/>
  <c r="Q230" i="42"/>
  <c r="Q215" i="42"/>
  <c r="P504" i="38"/>
  <c r="Q504" i="38" s="1"/>
  <c r="P450" i="38"/>
  <c r="Q450" i="38" s="1"/>
  <c r="P447" i="38"/>
  <c r="Q447" i="38" s="1"/>
  <c r="Q1229" i="42"/>
  <c r="Q103" i="42"/>
  <c r="Q635" i="42"/>
  <c r="Q610" i="42"/>
  <c r="Q601" i="42"/>
  <c r="Q576" i="42"/>
  <c r="Q455" i="42"/>
  <c r="Q405" i="42"/>
  <c r="Q330" i="42"/>
  <c r="Q282" i="42"/>
  <c r="Q260" i="42"/>
  <c r="Q646" i="42"/>
  <c r="Q597" i="42"/>
  <c r="Q539" i="42"/>
  <c r="Q526" i="42"/>
  <c r="Q510" i="42"/>
  <c r="Q476" i="42"/>
  <c r="P191" i="38"/>
  <c r="Q191" i="38" s="1"/>
  <c r="Q1292" i="42"/>
  <c r="Q673" i="42"/>
  <c r="Q1207" i="42"/>
  <c r="Q814" i="42"/>
  <c r="Q742" i="42"/>
  <c r="Q1287" i="42"/>
  <c r="P732" i="38"/>
  <c r="Q732" i="38" s="1"/>
  <c r="P711" i="38"/>
  <c r="Q711" i="38" s="1"/>
  <c r="P31" i="40"/>
  <c r="Q31" i="40" s="1"/>
  <c r="P675" i="38"/>
  <c r="Q675" i="38" s="1"/>
  <c r="P642" i="38"/>
  <c r="Q642" i="38" s="1"/>
  <c r="Q1550" i="42"/>
  <c r="P729" i="38"/>
  <c r="Q729" i="38" s="1"/>
  <c r="P384" i="38"/>
  <c r="Q384" i="38" s="1"/>
  <c r="P364" i="38"/>
  <c r="Q364" i="38" s="1"/>
  <c r="P29" i="40"/>
  <c r="Q29" i="40" s="1"/>
  <c r="Q587" i="42"/>
  <c r="Q432" i="42"/>
  <c r="Q368" i="42"/>
  <c r="Q331" i="42"/>
  <c r="Q257" i="42"/>
  <c r="P404" i="38"/>
  <c r="Q404" i="38" s="1"/>
  <c r="P390" i="38"/>
  <c r="Q390" i="38" s="1"/>
  <c r="P210" i="38"/>
  <c r="Q210" i="38" s="1"/>
  <c r="P30" i="39"/>
  <c r="Q30" i="39" s="1"/>
  <c r="Q1190" i="42"/>
  <c r="Q1188" i="42"/>
  <c r="P136" i="38"/>
  <c r="Q136" i="38" s="1"/>
  <c r="P116" i="38"/>
  <c r="Q116" i="38" s="1"/>
  <c r="P76" i="38"/>
  <c r="Q76" i="38" s="1"/>
  <c r="P433" i="38"/>
  <c r="Q433" i="38" s="1"/>
  <c r="P393" i="38"/>
  <c r="Q393" i="38" s="1"/>
  <c r="P271" i="38"/>
  <c r="Q271" i="38" s="1"/>
  <c r="Q1067" i="42"/>
  <c r="P277" i="38"/>
  <c r="Q277" i="38" s="1"/>
  <c r="P163" i="38"/>
  <c r="Q163" i="38" s="1"/>
  <c r="Q1171" i="42"/>
  <c r="Q1146" i="42"/>
  <c r="P323" i="38"/>
  <c r="Q323" i="38" s="1"/>
  <c r="P288" i="38"/>
  <c r="Q288" i="38" s="1"/>
  <c r="P193" i="38"/>
  <c r="Q193" i="38" s="1"/>
  <c r="P118" i="38"/>
  <c r="Q118" i="38" s="1"/>
  <c r="Q1172" i="42"/>
  <c r="Q1549" i="42"/>
  <c r="P708" i="38"/>
  <c r="Q708" i="38" s="1"/>
  <c r="P9" i="39"/>
  <c r="Q9" i="39" s="1"/>
  <c r="Q175" i="42"/>
  <c r="Q47" i="42"/>
  <c r="Q1181" i="42"/>
  <c r="Q1137" i="42"/>
  <c r="Q1359" i="42"/>
  <c r="P726" i="38"/>
  <c r="Q726" i="38" s="1"/>
  <c r="Q1260" i="42"/>
  <c r="Q1254" i="42"/>
  <c r="Q1210" i="42"/>
  <c r="P431" i="38"/>
  <c r="Q431" i="38" s="1"/>
  <c r="P318" i="38"/>
  <c r="Q318" i="38" s="1"/>
  <c r="Q1253" i="42"/>
  <c r="P492" i="38"/>
  <c r="Q492" i="38" s="1"/>
  <c r="Q1252" i="42"/>
  <c r="Q1237" i="42"/>
  <c r="Q1100" i="42"/>
  <c r="Q714" i="42"/>
  <c r="P458" i="38"/>
  <c r="Q458" i="38" s="1"/>
  <c r="P192" i="38"/>
  <c r="Q192" i="38" s="1"/>
  <c r="Q1175" i="42"/>
  <c r="Q1187" i="42"/>
  <c r="Q1236" i="42"/>
  <c r="Q1010" i="42"/>
  <c r="Q950" i="42"/>
  <c r="Q930" i="42"/>
  <c r="Q1551" i="42"/>
  <c r="I2128" i="42"/>
  <c r="I2122" i="42"/>
  <c r="P61" i="38"/>
  <c r="Q61" i="38" s="1"/>
  <c r="Q1396" i="42"/>
  <c r="Q1376" i="42"/>
  <c r="Q1354" i="42"/>
  <c r="Q1334" i="42"/>
  <c r="Q1314" i="42"/>
  <c r="Q1424" i="42"/>
  <c r="Q1444" i="42"/>
  <c r="Q1464" i="42"/>
  <c r="Q1185" i="42"/>
  <c r="P49" i="38"/>
  <c r="Q49" i="38" s="1"/>
  <c r="Q1414" i="42"/>
  <c r="Q1394" i="42"/>
  <c r="Q1374" i="42"/>
  <c r="Q1352" i="42"/>
  <c r="Q1332" i="42"/>
  <c r="Q1426" i="42"/>
  <c r="Q1446" i="42"/>
  <c r="Q1466" i="42"/>
  <c r="I2118" i="42"/>
  <c r="Q1149" i="42"/>
  <c r="Q1412" i="42"/>
  <c r="Q1372" i="42"/>
  <c r="Q1350" i="42"/>
  <c r="Q1330" i="42"/>
  <c r="Q1310" i="42"/>
  <c r="Q1468" i="42"/>
  <c r="P470" i="38"/>
  <c r="Q470" i="38" s="1"/>
  <c r="P436" i="38"/>
  <c r="Q436" i="38" s="1"/>
  <c r="Q1216" i="42"/>
  <c r="Q792" i="42"/>
  <c r="Q718" i="42"/>
  <c r="Q776" i="42"/>
  <c r="Q705" i="42"/>
  <c r="P456" i="38"/>
  <c r="Q456" i="38" s="1"/>
  <c r="Q655" i="42"/>
  <c r="Q538" i="42"/>
  <c r="Q465" i="42"/>
  <c r="Q445" i="42"/>
  <c r="Q323" i="42"/>
  <c r="Q1408" i="42"/>
  <c r="Q1388" i="42"/>
  <c r="Q1368" i="42"/>
  <c r="Q1346" i="42"/>
  <c r="Q1326" i="42"/>
  <c r="Q1306" i="42"/>
  <c r="Q1432" i="42"/>
  <c r="Q1452" i="42"/>
  <c r="Q1472" i="42"/>
  <c r="Q832" i="42"/>
  <c r="Q817" i="42"/>
  <c r="Q719" i="42"/>
  <c r="Q722" i="42"/>
  <c r="Q1129" i="42"/>
  <c r="Q1235" i="42"/>
  <c r="Q1050" i="42"/>
  <c r="Q1176" i="42"/>
  <c r="Q665" i="42"/>
  <c r="Q565" i="42"/>
  <c r="Q484" i="42"/>
  <c r="Q277" i="42"/>
  <c r="Q225" i="42"/>
  <c r="Q1234" i="42"/>
  <c r="Q1266" i="42"/>
  <c r="Q1151" i="42"/>
  <c r="Q1547" i="42"/>
  <c r="Q1098" i="42"/>
  <c r="Q1225" i="42"/>
  <c r="Q1232" i="42"/>
  <c r="Q1413" i="42"/>
  <c r="Q1373" i="42"/>
  <c r="Q1351" i="42"/>
  <c r="Q1467" i="42"/>
  <c r="Q1250" i="42"/>
  <c r="Q1196" i="42"/>
  <c r="Q1208" i="42"/>
  <c r="P690" i="38"/>
  <c r="Q690" i="38" s="1"/>
  <c r="Q1411" i="42"/>
  <c r="Q1391" i="42"/>
  <c r="Q1371" i="42"/>
  <c r="Q1349" i="42"/>
  <c r="Q1329" i="42"/>
  <c r="Q1309" i="42"/>
  <c r="Q1429" i="42"/>
  <c r="Q1449" i="42"/>
  <c r="Q1469" i="42"/>
  <c r="I2125" i="42"/>
  <c r="I2116" i="42"/>
  <c r="I2112" i="42"/>
  <c r="Q1249" i="42"/>
  <c r="P647" i="38"/>
  <c r="Q647" i="38" s="1"/>
  <c r="Q1410" i="42"/>
  <c r="Q1390" i="42"/>
  <c r="Q1328" i="42"/>
  <c r="Q1308" i="42"/>
  <c r="Q1430" i="42"/>
  <c r="Q1132" i="42"/>
  <c r="Q1070" i="42"/>
  <c r="Q1407" i="42"/>
  <c r="Q1387" i="42"/>
  <c r="Q1367" i="42"/>
  <c r="Q1345" i="42"/>
  <c r="Q1325" i="42"/>
  <c r="Q1305" i="42"/>
  <c r="Q1433" i="42"/>
  <c r="Q1453" i="42"/>
  <c r="Q1473" i="42"/>
  <c r="Q1131" i="42"/>
  <c r="Q1083" i="42"/>
  <c r="Q76" i="42"/>
  <c r="Q1247" i="42"/>
  <c r="Q1281" i="42"/>
  <c r="Q1173" i="42"/>
  <c r="Q1120" i="42"/>
  <c r="Q1231" i="42"/>
  <c r="Q1056" i="42"/>
  <c r="Q1032" i="42"/>
  <c r="Q1012" i="42"/>
  <c r="Q992" i="42"/>
  <c r="Q972" i="42"/>
  <c r="Q962" i="42"/>
  <c r="Q913" i="42"/>
  <c r="Q932" i="42"/>
  <c r="Q873" i="42"/>
  <c r="Q891" i="42"/>
  <c r="Q1230" i="42"/>
  <c r="Q1123" i="42"/>
  <c r="Q1073" i="42"/>
  <c r="P234" i="38"/>
  <c r="Q234" i="38" s="1"/>
  <c r="P134" i="38"/>
  <c r="Q134" i="38" s="1"/>
  <c r="P114" i="38"/>
  <c r="Q114" i="38" s="1"/>
  <c r="P94" i="38"/>
  <c r="Q94" i="38" s="1"/>
  <c r="P44" i="38"/>
  <c r="Q44" i="38" s="1"/>
  <c r="Q1127" i="42"/>
  <c r="Q1065" i="42"/>
  <c r="Q1031" i="42"/>
  <c r="Q1011" i="42"/>
  <c r="Q991" i="42"/>
  <c r="Q961" i="42"/>
  <c r="Q912" i="42"/>
  <c r="Q931" i="42"/>
  <c r="Q890" i="42"/>
  <c r="Q848" i="42"/>
  <c r="Q1169" i="42"/>
  <c r="Q1092" i="42"/>
  <c r="Q871" i="42"/>
  <c r="Q889" i="42"/>
  <c r="Q1290" i="42"/>
  <c r="Q1239" i="42"/>
  <c r="Q1283" i="42"/>
  <c r="P735" i="38"/>
  <c r="Q735" i="38" s="1"/>
  <c r="P715" i="38"/>
  <c r="Q715" i="38" s="1"/>
  <c r="I2117" i="42"/>
  <c r="Q1386" i="42"/>
  <c r="Q1344" i="42"/>
  <c r="Q1304" i="42"/>
  <c r="I2114" i="42"/>
  <c r="P32" i="40"/>
  <c r="Q32" i="40" s="1"/>
  <c r="P294" i="38"/>
  <c r="Q294" i="38" s="1"/>
  <c r="P253" i="38"/>
  <c r="Q253" i="38" s="1"/>
  <c r="Q1147" i="42"/>
  <c r="Q1238" i="42"/>
  <c r="Q1205" i="42"/>
  <c r="Q1405" i="42"/>
  <c r="Q1343" i="42"/>
  <c r="Q1303" i="42"/>
  <c r="Q1455" i="42"/>
  <c r="Q1475" i="42"/>
  <c r="Q1118" i="42"/>
  <c r="Q524" i="42"/>
  <c r="Q515" i="42"/>
  <c r="Q386" i="42"/>
  <c r="Q1193" i="42"/>
  <c r="Q1200" i="42"/>
  <c r="Q1221" i="42"/>
  <c r="I2119" i="42"/>
  <c r="Q1117" i="42"/>
  <c r="Q1080" i="42"/>
  <c r="Q1288" i="42"/>
  <c r="Q1321" i="42"/>
  <c r="Q1301" i="42"/>
  <c r="Q1477" i="42"/>
  <c r="P702" i="38"/>
  <c r="Q702" i="38" s="1"/>
  <c r="I2111" i="42"/>
  <c r="P33" i="38"/>
  <c r="Q33" i="38" s="1"/>
  <c r="Q1069" i="42"/>
  <c r="Q1209" i="42"/>
  <c r="Q1259" i="42"/>
  <c r="Q1163" i="42"/>
  <c r="Q1212" i="42"/>
  <c r="P754" i="38"/>
  <c r="Q754" i="38" s="1"/>
  <c r="Q1420" i="42"/>
  <c r="Q1402" i="42"/>
  <c r="Q1382" i="42"/>
  <c r="Q1362" i="42"/>
  <c r="Q1300" i="42"/>
  <c r="Q1458" i="42"/>
  <c r="I2120" i="42"/>
  <c r="Q1145" i="42"/>
  <c r="Q1068" i="42"/>
  <c r="Q1191" i="42"/>
  <c r="Q1258" i="42"/>
  <c r="Q1401" i="42"/>
  <c r="Q1319" i="42"/>
  <c r="Q1439" i="42"/>
  <c r="Q1459" i="42"/>
  <c r="Q1479" i="42"/>
  <c r="Q1553" i="42"/>
  <c r="I2123" i="42"/>
  <c r="I2113" i="42"/>
  <c r="Q1380" i="42"/>
  <c r="Q1360" i="42"/>
  <c r="Q1338" i="42"/>
  <c r="Q1318" i="42"/>
  <c r="Q1440" i="42"/>
  <c r="P222" i="38"/>
  <c r="Q222" i="38" s="1"/>
  <c r="P53" i="38"/>
  <c r="Q53" i="38" s="1"/>
  <c r="P11" i="39"/>
  <c r="Q11" i="39" s="1"/>
  <c r="Q1133" i="42"/>
  <c r="Q1114" i="42"/>
  <c r="Q1101" i="42"/>
  <c r="Q824" i="42"/>
  <c r="Q52" i="42"/>
  <c r="P662" i="38"/>
  <c r="Q662" i="38" s="1"/>
  <c r="Q1126" i="42"/>
  <c r="Q1106" i="42"/>
  <c r="Q1088" i="42"/>
  <c r="Q1285" i="42"/>
  <c r="P751" i="38"/>
  <c r="Q751" i="38" s="1"/>
  <c r="Q1552" i="42"/>
  <c r="I2127" i="42"/>
  <c r="I2115" i="42"/>
  <c r="Q1170" i="42"/>
  <c r="Q1242" i="42"/>
  <c r="Q1418" i="42"/>
  <c r="Q1378" i="42"/>
  <c r="Q1356" i="42"/>
  <c r="Q1336" i="42"/>
  <c r="Q1316" i="42"/>
  <c r="Q1422" i="42"/>
  <c r="P366" i="38"/>
  <c r="Q366" i="38" s="1"/>
  <c r="P15" i="40"/>
  <c r="Q15" i="40" s="1"/>
  <c r="P628" i="38"/>
  <c r="Q628" i="38" s="1"/>
  <c r="Q1295" i="42"/>
  <c r="Q1417" i="42"/>
  <c r="Q1397" i="42"/>
  <c r="Q1335" i="42"/>
  <c r="I2124" i="42"/>
  <c r="P430" i="38"/>
  <c r="Q430" i="38" s="1"/>
  <c r="P410" i="38"/>
  <c r="Q410" i="38" s="1"/>
  <c r="L340" i="38"/>
  <c r="N110" i="41"/>
  <c r="L110" i="41"/>
  <c r="H126" i="41"/>
  <c r="P165" i="38"/>
  <c r="Q165" i="38" s="1"/>
  <c r="P340" i="38"/>
  <c r="Q340" i="38" s="1"/>
  <c r="P524" i="38"/>
  <c r="Q524" i="38" s="1"/>
  <c r="P484" i="38"/>
  <c r="Q484" i="38" s="1"/>
  <c r="P370" i="38"/>
  <c r="Q370" i="38" s="1"/>
  <c r="I916" i="38"/>
  <c r="N103" i="41"/>
  <c r="L103" i="41"/>
  <c r="H48" i="39"/>
  <c r="L173" i="38"/>
  <c r="L302" i="38"/>
  <c r="N302" i="38"/>
  <c r="P302" i="38" s="1"/>
  <c r="Q302" i="38" s="1"/>
  <c r="N274" i="38"/>
  <c r="P274" i="38" s="1"/>
  <c r="Q274" i="38" s="1"/>
  <c r="L274" i="38"/>
  <c r="N38" i="39"/>
  <c r="P38" i="39" s="1"/>
  <c r="Q38" i="39" s="1"/>
  <c r="H50" i="39"/>
  <c r="L38" i="39"/>
  <c r="J41" i="39"/>
  <c r="L339" i="38"/>
  <c r="N339" i="38"/>
  <c r="P339" i="38" s="1"/>
  <c r="Q339" i="38" s="1"/>
  <c r="H915" i="38"/>
  <c r="P173" i="38"/>
  <c r="Q173" i="38" s="1"/>
  <c r="H913" i="38"/>
  <c r="H910" i="38"/>
  <c r="N11" i="38"/>
  <c r="P11" i="38" s="1"/>
  <c r="L11" i="38"/>
  <c r="N25" i="41"/>
  <c r="L25" i="41"/>
  <c r="Q1404" i="42"/>
  <c r="Q1384" i="42"/>
  <c r="Q1364" i="42"/>
  <c r="Q1342" i="42"/>
  <c r="Q1322" i="42"/>
  <c r="Q1302" i="42"/>
  <c r="Q1436" i="42"/>
  <c r="Q1456" i="42"/>
  <c r="Q1476" i="42"/>
  <c r="L30" i="40"/>
  <c r="N30" i="40"/>
  <c r="P30" i="40" s="1"/>
  <c r="Q30" i="40" s="1"/>
  <c r="N198" i="38"/>
  <c r="P198" i="38" s="1"/>
  <c r="Q198" i="38" s="1"/>
  <c r="L16" i="39"/>
  <c r="N16" i="39"/>
  <c r="P16" i="39" s="1"/>
  <c r="Q16" i="39" s="1"/>
  <c r="N26" i="38"/>
  <c r="P26" i="38" s="1"/>
  <c r="Q26" i="38" s="1"/>
  <c r="N54" i="38"/>
  <c r="P54" i="38" s="1"/>
  <c r="Q54" i="38" s="1"/>
  <c r="H912" i="38"/>
  <c r="P312" i="38"/>
  <c r="Q312" i="38" s="1"/>
  <c r="N65" i="41"/>
  <c r="L65" i="41"/>
  <c r="L220" i="38"/>
  <c r="J39" i="40"/>
  <c r="P518" i="38"/>
  <c r="Q518" i="38" s="1"/>
  <c r="P478" i="38"/>
  <c r="Q478" i="38" s="1"/>
  <c r="P444" i="38"/>
  <c r="Q444" i="38" s="1"/>
  <c r="P334" i="38"/>
  <c r="Q334" i="38" s="1"/>
  <c r="L334" i="38"/>
  <c r="L60" i="38"/>
  <c r="N60" i="38"/>
  <c r="P60" i="38" s="1"/>
  <c r="Q60" i="38" s="1"/>
  <c r="N51" i="38"/>
  <c r="P51" i="38" s="1"/>
  <c r="Q51" i="38" s="1"/>
  <c r="P176" i="38"/>
  <c r="Q176" i="38" s="1"/>
  <c r="N56" i="38"/>
  <c r="P56" i="38" s="1"/>
  <c r="Q56" i="38" s="1"/>
  <c r="L56" i="38"/>
  <c r="L9" i="41"/>
  <c r="N9" i="41"/>
  <c r="Q580" i="42"/>
  <c r="P416" i="38"/>
  <c r="Q416" i="38" s="1"/>
  <c r="P376" i="38"/>
  <c r="Q376" i="38" s="1"/>
  <c r="P256" i="38"/>
  <c r="Q256" i="38" s="1"/>
  <c r="P243" i="38"/>
  <c r="Q243" i="38" s="1"/>
  <c r="P212" i="38"/>
  <c r="Q212" i="38" s="1"/>
  <c r="P455" i="38"/>
  <c r="Q455" i="38" s="1"/>
  <c r="P375" i="38"/>
  <c r="Q375" i="38" s="1"/>
  <c r="L332" i="38"/>
  <c r="N101" i="41"/>
  <c r="H125" i="41"/>
  <c r="P17" i="38"/>
  <c r="Q17" i="38" s="1"/>
  <c r="P515" i="38"/>
  <c r="Q515" i="38" s="1"/>
  <c r="P441" i="38"/>
  <c r="Q441" i="38" s="1"/>
  <c r="P401" i="38"/>
  <c r="Q401" i="38" s="1"/>
  <c r="L347" i="38"/>
  <c r="P347" i="38"/>
  <c r="Q347" i="38" s="1"/>
  <c r="P164" i="38"/>
  <c r="Q164" i="38" s="1"/>
  <c r="L85" i="41"/>
  <c r="N85" i="41"/>
  <c r="P254" i="38"/>
  <c r="Q254" i="38" s="1"/>
  <c r="N24" i="38"/>
  <c r="P24" i="38" s="1"/>
  <c r="Q24" i="38" s="1"/>
  <c r="N12" i="39"/>
  <c r="P12" i="39" s="1"/>
  <c r="Q12" i="39" s="1"/>
  <c r="N100" i="41"/>
  <c r="P188" i="38"/>
  <c r="Q188" i="38" s="1"/>
  <c r="P34" i="39"/>
  <c r="Q34" i="39" s="1"/>
  <c r="P246" i="38"/>
  <c r="Q246" i="38" s="1"/>
  <c r="P27" i="40"/>
  <c r="N327" i="38"/>
  <c r="P327" i="38" s="1"/>
  <c r="Q327" i="38" s="1"/>
  <c r="N332" i="38"/>
  <c r="P332" i="38" s="1"/>
  <c r="Q332" i="38" s="1"/>
  <c r="N240" i="38"/>
  <c r="P240" i="38" s="1"/>
  <c r="Q240" i="38" s="1"/>
  <c r="L78" i="41"/>
  <c r="L300" i="38"/>
  <c r="N300" i="38"/>
  <c r="P300" i="38" s="1"/>
  <c r="Q300" i="38" s="1"/>
  <c r="P237" i="38"/>
  <c r="Q237" i="38" s="1"/>
  <c r="P223" i="38"/>
  <c r="Q223" i="38" s="1"/>
  <c r="P14" i="38"/>
  <c r="Q14" i="38" s="1"/>
  <c r="N27" i="41"/>
  <c r="L27" i="41"/>
  <c r="P624" i="38"/>
  <c r="Q624" i="38" s="1"/>
  <c r="P485" i="38"/>
  <c r="Q485" i="38" s="1"/>
  <c r="P371" i="38"/>
  <c r="Q371" i="38" s="1"/>
  <c r="P251" i="38"/>
  <c r="Q251" i="38" s="1"/>
  <c r="P229" i="38"/>
  <c r="Q229" i="38" s="1"/>
  <c r="Q659" i="42"/>
  <c r="P498" i="38"/>
  <c r="Q498" i="38" s="1"/>
  <c r="P464" i="38"/>
  <c r="Q464" i="38" s="1"/>
  <c r="P299" i="38"/>
  <c r="Q299" i="38" s="1"/>
  <c r="P285" i="38"/>
  <c r="Q285" i="38" s="1"/>
  <c r="P264" i="38"/>
  <c r="Q264" i="38" s="1"/>
  <c r="P181" i="38"/>
  <c r="Q181" i="38" s="1"/>
  <c r="P360" i="38"/>
  <c r="Q360" i="38" s="1"/>
  <c r="P90" i="38"/>
  <c r="Q90" i="38" s="1"/>
  <c r="P507" i="38"/>
  <c r="Q507" i="38" s="1"/>
  <c r="P413" i="38"/>
  <c r="Q413" i="38" s="1"/>
  <c r="P282" i="38"/>
  <c r="Q282" i="38" s="1"/>
  <c r="P123" i="38"/>
  <c r="Q123" i="38" s="1"/>
  <c r="P166" i="38"/>
  <c r="Q166" i="38" s="1"/>
  <c r="P638" i="38"/>
  <c r="Q638" i="38" s="1"/>
  <c r="Q1203" i="42"/>
  <c r="Q1294" i="42"/>
  <c r="P41" i="38"/>
  <c r="Q41" i="38" s="1"/>
  <c r="I918" i="38"/>
  <c r="P96" i="38"/>
  <c r="Q96" i="38" s="1"/>
  <c r="P40" i="38"/>
  <c r="Q40" i="38" s="1"/>
  <c r="P651" i="38"/>
  <c r="Q651" i="38" s="1"/>
  <c r="P648" i="38"/>
  <c r="Q648" i="38" s="1"/>
  <c r="Q1282" i="42"/>
  <c r="Q1198" i="42"/>
  <c r="Q1194" i="42"/>
  <c r="P776" i="38"/>
  <c r="Q776" i="38" s="1"/>
  <c r="Q1395" i="42"/>
  <c r="Q1375" i="42"/>
  <c r="Q1333" i="42"/>
  <c r="Q1313" i="42"/>
  <c r="Q1425" i="42"/>
  <c r="Q1445" i="42"/>
  <c r="Q1465" i="42"/>
  <c r="Q1182" i="42"/>
  <c r="Q1167" i="42"/>
  <c r="Q1271" i="42"/>
  <c r="Q1243" i="42"/>
  <c r="P672" i="38"/>
  <c r="Q672" i="38" s="1"/>
  <c r="I125" i="41" l="1"/>
  <c r="L904" i="38"/>
  <c r="L39" i="40"/>
  <c r="I49" i="39"/>
  <c r="I50" i="39"/>
  <c r="H135" i="41"/>
  <c r="Q2096" i="42"/>
  <c r="I2131" i="42"/>
  <c r="H921" i="38"/>
  <c r="P904" i="38"/>
  <c r="R243" i="42"/>
  <c r="R1170" i="42"/>
  <c r="R459" i="42"/>
  <c r="R426" i="42"/>
  <c r="R1509" i="42"/>
  <c r="R1313" i="42"/>
  <c r="R1360" i="42"/>
  <c r="R1420" i="42"/>
  <c r="R386" i="42"/>
  <c r="R1173" i="42"/>
  <c r="R1390" i="42"/>
  <c r="R1467" i="42"/>
  <c r="R722" i="42"/>
  <c r="R776" i="42"/>
  <c r="R1394" i="42"/>
  <c r="R1187" i="42"/>
  <c r="R175" i="42"/>
  <c r="R1188" i="42"/>
  <c r="R601" i="42"/>
  <c r="R306" i="42"/>
  <c r="R533" i="42"/>
  <c r="R1415" i="42"/>
  <c r="R1035" i="42"/>
  <c r="R1463" i="42"/>
  <c r="R1075" i="42"/>
  <c r="R157" i="42"/>
  <c r="R1337" i="42"/>
  <c r="R101" i="42"/>
  <c r="R250" i="42"/>
  <c r="R450" i="42"/>
  <c r="R835" i="42"/>
  <c r="R1223" i="42"/>
  <c r="R143" i="42"/>
  <c r="R401" i="42"/>
  <c r="R594" i="42"/>
  <c r="R1471" i="42"/>
  <c r="R183" i="42"/>
  <c r="R474" i="42"/>
  <c r="R751" i="42"/>
  <c r="R850" i="42"/>
  <c r="R1347" i="42"/>
  <c r="R255" i="42"/>
  <c r="R946" i="42"/>
  <c r="R710" i="42"/>
  <c r="R1026" i="42"/>
  <c r="R856" i="42"/>
  <c r="R851" i="42"/>
  <c r="R141" i="42"/>
  <c r="R373" i="42"/>
  <c r="R589" i="42"/>
  <c r="R1074" i="42"/>
  <c r="R57" i="42"/>
  <c r="R979" i="42"/>
  <c r="R765" i="42"/>
  <c r="R1109" i="42"/>
  <c r="R1141" i="42"/>
  <c r="R841" i="42"/>
  <c r="R845" i="42"/>
  <c r="R838" i="42"/>
  <c r="R905" i="42"/>
  <c r="R40" i="42"/>
  <c r="R311" i="42"/>
  <c r="R487" i="42"/>
  <c r="R88" i="42"/>
  <c r="R154" i="42"/>
  <c r="R444" i="42"/>
  <c r="R641" i="42"/>
  <c r="R43" i="42"/>
  <c r="R509" i="42"/>
  <c r="R109" i="42"/>
  <c r="R241" i="42"/>
  <c r="R493" i="42"/>
  <c r="R462" i="42"/>
  <c r="R660" i="42"/>
  <c r="R1499" i="42"/>
  <c r="R1248" i="42"/>
  <c r="R1150" i="42"/>
  <c r="R815" i="42"/>
  <c r="R1502" i="42"/>
  <c r="R1526" i="42"/>
  <c r="R1344" i="42"/>
  <c r="R93" i="42"/>
  <c r="R718" i="42"/>
  <c r="R1287" i="42"/>
  <c r="R541" i="42"/>
  <c r="R1038" i="42"/>
  <c r="R1443" i="42"/>
  <c r="R1105" i="42"/>
  <c r="R210" i="42"/>
  <c r="R91" i="42"/>
  <c r="R840" i="42"/>
  <c r="R1227" i="42"/>
  <c r="R137" i="42"/>
  <c r="R387" i="42"/>
  <c r="R623" i="42"/>
  <c r="R1451" i="42"/>
  <c r="R214" i="42"/>
  <c r="R483" i="42"/>
  <c r="R772" i="42"/>
  <c r="R1369" i="42"/>
  <c r="R302" i="42"/>
  <c r="R1064" i="42"/>
  <c r="R689" i="42"/>
  <c r="R1091" i="42"/>
  <c r="R970" i="42"/>
  <c r="R956" i="42"/>
  <c r="R179" i="42"/>
  <c r="R390" i="42"/>
  <c r="R615" i="42"/>
  <c r="R1104" i="42"/>
  <c r="R128" i="42"/>
  <c r="R999" i="42"/>
  <c r="R754" i="42"/>
  <c r="R1094" i="42"/>
  <c r="R1246" i="42"/>
  <c r="R1160" i="42"/>
  <c r="R711" i="42"/>
  <c r="R865" i="42"/>
  <c r="R1048" i="42"/>
  <c r="R295" i="42"/>
  <c r="R50" i="42"/>
  <c r="R314" i="42"/>
  <c r="R536" i="42"/>
  <c r="R69" i="42"/>
  <c r="R144" i="42"/>
  <c r="R452" i="42"/>
  <c r="R652" i="42"/>
  <c r="R163" i="42"/>
  <c r="R517" i="42"/>
  <c r="R90" i="42"/>
  <c r="R280" i="42"/>
  <c r="R503" i="42"/>
  <c r="R470" i="42"/>
  <c r="R773" i="42"/>
  <c r="R893" i="42"/>
  <c r="R1495" i="42"/>
  <c r="R1421" i="42"/>
  <c r="R834" i="42"/>
  <c r="R1520" i="42"/>
  <c r="R1525" i="42"/>
  <c r="R1231" i="42"/>
  <c r="R30" i="42"/>
  <c r="R1281" i="42"/>
  <c r="R1379" i="42"/>
  <c r="R1375" i="42"/>
  <c r="R1456" i="42"/>
  <c r="R1212" i="42"/>
  <c r="R1247" i="42"/>
  <c r="R792" i="42"/>
  <c r="R1240" i="42"/>
  <c r="R1399" i="42"/>
  <c r="R1199" i="42"/>
  <c r="R229" i="42"/>
  <c r="R396" i="42"/>
  <c r="R1044" i="42"/>
  <c r="R607" i="42"/>
  <c r="R712" i="42"/>
  <c r="R944" i="42"/>
  <c r="R60" i="42"/>
  <c r="R25" i="42"/>
  <c r="R464" i="42"/>
  <c r="R662" i="42"/>
  <c r="R491" i="42"/>
  <c r="R81" i="42"/>
  <c r="R276" i="42"/>
  <c r="R489" i="42"/>
  <c r="R481" i="42"/>
  <c r="R934" i="42"/>
  <c r="R1251" i="42"/>
  <c r="R1312" i="42"/>
  <c r="R847" i="42"/>
  <c r="R1540" i="42"/>
  <c r="R1489" i="42"/>
  <c r="R502" i="42"/>
  <c r="R352" i="42"/>
  <c r="R138" i="42"/>
  <c r="R380" i="42"/>
  <c r="R1059" i="42"/>
  <c r="R74" i="42"/>
  <c r="R622" i="42"/>
  <c r="R245" i="42"/>
  <c r="R1338" i="42"/>
  <c r="R705" i="42"/>
  <c r="R520" i="42"/>
  <c r="R235" i="42"/>
  <c r="R176" i="42"/>
  <c r="R1153" i="42"/>
  <c r="R766" i="42"/>
  <c r="R118" i="42"/>
  <c r="R1533" i="42"/>
  <c r="R1333" i="42"/>
  <c r="R1476" i="42"/>
  <c r="R1380" i="42"/>
  <c r="R515" i="42"/>
  <c r="R1351" i="42"/>
  <c r="R719" i="42"/>
  <c r="R1175" i="42"/>
  <c r="R1190" i="42"/>
  <c r="R610" i="42"/>
  <c r="R1268" i="42"/>
  <c r="R258" i="42"/>
  <c r="R1552" i="42"/>
  <c r="R524" i="42"/>
  <c r="R817" i="42"/>
  <c r="R742" i="42"/>
  <c r="R320" i="42"/>
  <c r="R550" i="42"/>
  <c r="R1423" i="42"/>
  <c r="R1135" i="42"/>
  <c r="R190" i="42"/>
  <c r="R281" i="42"/>
  <c r="R1437" i="42"/>
  <c r="R862" i="42"/>
  <c r="R413" i="42"/>
  <c r="R633" i="42"/>
  <c r="R1431" i="42"/>
  <c r="R498" i="42"/>
  <c r="R789" i="42"/>
  <c r="R1389" i="42"/>
  <c r="R768" i="42"/>
  <c r="R1279" i="42"/>
  <c r="R687" i="42"/>
  <c r="R209" i="42"/>
  <c r="R407" i="42"/>
  <c r="R696" i="42"/>
  <c r="R1019" i="42"/>
  <c r="R1140" i="42"/>
  <c r="R1165" i="42"/>
  <c r="R906" i="42"/>
  <c r="R984" i="42"/>
  <c r="R1144" i="42"/>
  <c r="R303" i="42"/>
  <c r="R344" i="42"/>
  <c r="R532" i="42"/>
  <c r="R136" i="42"/>
  <c r="R195" i="42"/>
  <c r="R1395" i="42"/>
  <c r="R1163" i="42"/>
  <c r="R1118" i="42"/>
  <c r="R1283" i="42"/>
  <c r="R76" i="42"/>
  <c r="R1249" i="42"/>
  <c r="R1413" i="42"/>
  <c r="R832" i="42"/>
  <c r="R1216" i="42"/>
  <c r="R1185" i="42"/>
  <c r="R1549" i="42"/>
  <c r="R814" i="42"/>
  <c r="R103" i="42"/>
  <c r="R354" i="42"/>
  <c r="R558" i="42"/>
  <c r="R698" i="42"/>
  <c r="R1122" i="42"/>
  <c r="R1315" i="42"/>
  <c r="R1155" i="42"/>
  <c r="R290" i="42"/>
  <c r="R1419" i="42"/>
  <c r="R73" i="42"/>
  <c r="R271" i="42"/>
  <c r="R1341" i="42"/>
  <c r="R902" i="42"/>
  <c r="R1159" i="42"/>
  <c r="R194" i="42"/>
  <c r="R423" i="42"/>
  <c r="R643" i="42"/>
  <c r="R1307" i="42"/>
  <c r="R239" i="42"/>
  <c r="R516" i="42"/>
  <c r="R911" i="42"/>
  <c r="R525" i="42"/>
  <c r="R1409" i="42"/>
  <c r="R508" i="42"/>
  <c r="R1278" i="42"/>
  <c r="R741" i="42"/>
  <c r="R1215" i="42"/>
  <c r="R770" i="42"/>
  <c r="R1263" i="42"/>
  <c r="R189" i="42"/>
  <c r="R415" i="42"/>
  <c r="R598" i="42"/>
  <c r="R921" i="42"/>
  <c r="R151" i="42"/>
  <c r="R1043" i="42"/>
  <c r="R744" i="42"/>
  <c r="R1219" i="42"/>
  <c r="R1142" i="42"/>
  <c r="R1049" i="42"/>
  <c r="R1024" i="42"/>
  <c r="R1082" i="42"/>
  <c r="R771" i="42"/>
  <c r="R337" i="42"/>
  <c r="R121" i="42"/>
  <c r="R348" i="42"/>
  <c r="R551" i="42"/>
  <c r="R35" i="42"/>
  <c r="R199" i="42"/>
  <c r="R472" i="42"/>
  <c r="R779" i="42"/>
  <c r="R294" i="42"/>
  <c r="R544" i="42"/>
  <c r="R1548" i="42"/>
  <c r="R72" i="42"/>
  <c r="R275" i="42"/>
  <c r="R521" i="42"/>
  <c r="R494" i="42"/>
  <c r="R964" i="42"/>
  <c r="R353" i="42"/>
  <c r="R1357" i="42"/>
  <c r="R888" i="42"/>
  <c r="R1501" i="42"/>
  <c r="R1522" i="42"/>
  <c r="R1308" i="42"/>
  <c r="R686" i="42"/>
  <c r="R1410" i="42"/>
  <c r="R1414" i="42"/>
  <c r="R317" i="42"/>
  <c r="R1457" i="42"/>
  <c r="R1373" i="42"/>
  <c r="R635" i="42"/>
  <c r="R1103" i="42"/>
  <c r="R80" i="42"/>
  <c r="R184" i="42"/>
  <c r="R1541" i="42"/>
  <c r="R171" i="42"/>
  <c r="R1436" i="42"/>
  <c r="R1302" i="42"/>
  <c r="R1285" i="42"/>
  <c r="R1553" i="42"/>
  <c r="R1259" i="42"/>
  <c r="R1239" i="42"/>
  <c r="R1083" i="42"/>
  <c r="R1232" i="42"/>
  <c r="R1472" i="42"/>
  <c r="R1464" i="42"/>
  <c r="R714" i="42"/>
  <c r="R1172" i="42"/>
  <c r="R1207" i="42"/>
  <c r="R1229" i="42"/>
  <c r="R350" i="42"/>
  <c r="R568" i="42"/>
  <c r="R677" i="42"/>
  <c r="R1543" i="42"/>
  <c r="R1355" i="42"/>
  <c r="R1545" i="42"/>
  <c r="R512" i="42"/>
  <c r="R1158" i="42"/>
  <c r="R29" i="42"/>
  <c r="R265" i="42"/>
  <c r="R1363" i="42"/>
  <c r="R923" i="42"/>
  <c r="R1323" i="42"/>
  <c r="R213" i="42"/>
  <c r="R427" i="42"/>
  <c r="R653" i="42"/>
  <c r="R1470" i="42"/>
  <c r="R259" i="42"/>
  <c r="R529" i="42"/>
  <c r="R960" i="42"/>
  <c r="R853" i="42"/>
  <c r="R1428" i="42"/>
  <c r="R990" i="42"/>
  <c r="R15" i="42"/>
  <c r="R791" i="42"/>
  <c r="R1206" i="42"/>
  <c r="R836" i="42"/>
  <c r="R1256" i="42"/>
  <c r="R217" i="42"/>
  <c r="R430" i="42"/>
  <c r="R630" i="42"/>
  <c r="R1089" i="42"/>
  <c r="R142" i="42"/>
  <c r="R1057" i="42"/>
  <c r="R702" i="42"/>
  <c r="R1211" i="42"/>
  <c r="R717" i="42"/>
  <c r="R813" i="42"/>
  <c r="R1090" i="42"/>
  <c r="R812" i="42"/>
  <c r="R1168" i="42"/>
  <c r="R341" i="42"/>
  <c r="R132" i="42"/>
  <c r="R351" i="42"/>
  <c r="R561" i="42"/>
  <c r="R45" i="42"/>
  <c r="R224" i="42"/>
  <c r="R479" i="42"/>
  <c r="R338" i="42"/>
  <c r="R324" i="42"/>
  <c r="R555" i="42"/>
  <c r="R28" i="42"/>
  <c r="R307" i="42"/>
  <c r="R534" i="42"/>
  <c r="R504" i="42"/>
  <c r="R1014" i="42"/>
  <c r="R379" i="42"/>
  <c r="R556" i="42"/>
  <c r="R870" i="42"/>
  <c r="R1539" i="42"/>
  <c r="R1483" i="42"/>
  <c r="R82" i="42"/>
  <c r="R969" i="42"/>
  <c r="R1452" i="42"/>
  <c r="R879" i="42"/>
  <c r="R1547" i="42"/>
  <c r="R371" i="42"/>
  <c r="R599" i="42"/>
  <c r="R681" i="42"/>
  <c r="R1241" i="42"/>
  <c r="R1201" i="42"/>
  <c r="R1398" i="42"/>
  <c r="R675" i="42"/>
  <c r="R1298" i="42"/>
  <c r="R59" i="42"/>
  <c r="R310" i="42"/>
  <c r="R1276" i="42"/>
  <c r="R953" i="42"/>
  <c r="R1233" i="42"/>
  <c r="R238" i="42"/>
  <c r="R458" i="42"/>
  <c r="R887" i="42"/>
  <c r="R1370" i="42"/>
  <c r="R299" i="42"/>
  <c r="R564" i="42"/>
  <c r="R1128" i="42"/>
  <c r="R740" i="42"/>
  <c r="R1392" i="42"/>
  <c r="R951" i="42"/>
  <c r="R99" i="42"/>
  <c r="R849" i="42"/>
  <c r="R874" i="42"/>
  <c r="R884" i="42"/>
  <c r="R108" i="42"/>
  <c r="R286" i="42"/>
  <c r="R457" i="42"/>
  <c r="R657" i="42"/>
  <c r="R1320" i="42"/>
  <c r="R938" i="42"/>
  <c r="R899" i="42"/>
  <c r="R842" i="42"/>
  <c r="R752" i="42"/>
  <c r="R955" i="42"/>
  <c r="R672" i="42"/>
  <c r="R748" i="42"/>
  <c r="R762" i="42"/>
  <c r="R1197" i="42"/>
  <c r="R1511" i="42"/>
  <c r="R145" i="42"/>
  <c r="R394" i="42"/>
  <c r="R583" i="42"/>
  <c r="R1272" i="42"/>
  <c r="R252" i="42"/>
  <c r="R490" i="42"/>
  <c r="R721" i="42"/>
  <c r="R636" i="42"/>
  <c r="R165" i="42"/>
  <c r="R58" i="42"/>
  <c r="R346" i="42"/>
  <c r="R559" i="42"/>
  <c r="R535" i="42"/>
  <c r="R886" i="42"/>
  <c r="R1498" i="42"/>
  <c r="R406" i="42"/>
  <c r="R588" i="42"/>
  <c r="R949" i="42"/>
  <c r="R1505" i="42"/>
  <c r="R1496" i="42"/>
  <c r="R1065" i="42"/>
  <c r="R67" i="42"/>
  <c r="R1086" i="42"/>
  <c r="R148" i="42"/>
  <c r="R71" i="42"/>
  <c r="R312" i="42"/>
  <c r="R1184" i="42"/>
  <c r="R1120" i="42"/>
  <c r="R1317" i="42"/>
  <c r="R618" i="42"/>
  <c r="R713" i="42"/>
  <c r="R27" i="42"/>
  <c r="R514" i="42"/>
  <c r="R1152" i="42"/>
  <c r="R1073" i="42"/>
  <c r="R605" i="42"/>
  <c r="R220" i="42"/>
  <c r="R1030" i="42"/>
  <c r="R16" i="42"/>
  <c r="R1143" i="42"/>
  <c r="R55" i="42"/>
  <c r="R929" i="42"/>
  <c r="R889" i="42"/>
  <c r="R257" i="42"/>
  <c r="R668" i="42"/>
  <c r="R780" i="42"/>
  <c r="R106" i="42"/>
  <c r="R1438" i="42"/>
  <c r="R153" i="42"/>
  <c r="R169" i="42"/>
  <c r="R574" i="42"/>
  <c r="R1439" i="42"/>
  <c r="R331" i="42"/>
  <c r="R1295" i="42"/>
  <c r="R1433" i="42"/>
  <c r="R476" i="42"/>
  <c r="R1400" i="42"/>
  <c r="R869" i="42"/>
  <c r="R1055" i="42"/>
  <c r="R1264" i="42"/>
  <c r="R723" i="42"/>
  <c r="R616" i="42"/>
  <c r="R523" i="42"/>
  <c r="R21" i="42"/>
  <c r="R347" i="42"/>
  <c r="R569" i="42"/>
  <c r="R531" i="42"/>
  <c r="R1183" i="42"/>
  <c r="R1506" i="42"/>
  <c r="R1041" i="42"/>
  <c r="R707" i="42"/>
  <c r="R1444" i="42"/>
  <c r="R1107" i="42"/>
  <c r="R377" i="42"/>
  <c r="R1169" i="42"/>
  <c r="R408" i="42"/>
  <c r="R117" i="42"/>
  <c r="R914" i="42"/>
  <c r="R477" i="42"/>
  <c r="R1257" i="42"/>
  <c r="R968" i="42"/>
  <c r="R1058" i="42"/>
  <c r="R900" i="42"/>
  <c r="R703" i="42"/>
  <c r="R1164" i="42"/>
  <c r="R763" i="42"/>
  <c r="R954" i="42"/>
  <c r="R743" i="42"/>
  <c r="R177" i="42"/>
  <c r="R181" i="42"/>
  <c r="R411" i="42"/>
  <c r="R592" i="42"/>
  <c r="R116" i="42"/>
  <c r="R326" i="42"/>
  <c r="R528" i="42"/>
  <c r="R783" i="42"/>
  <c r="R682" i="42"/>
  <c r="R140" i="42"/>
  <c r="R130" i="42"/>
  <c r="R363" i="42"/>
  <c r="R578" i="42"/>
  <c r="R548" i="42"/>
  <c r="R927" i="42"/>
  <c r="R283" i="42"/>
  <c r="R433" i="42"/>
  <c r="R609" i="42"/>
  <c r="R989" i="42"/>
  <c r="R1485" i="42"/>
  <c r="R1481" i="42"/>
  <c r="R1200" i="42"/>
  <c r="R995" i="42"/>
  <c r="R166" i="42"/>
  <c r="R804" i="42"/>
  <c r="R680" i="42"/>
  <c r="R1161" i="42"/>
  <c r="R1138" i="42"/>
  <c r="R129" i="42"/>
  <c r="R1072" i="42"/>
  <c r="R1528" i="42"/>
  <c r="R1328" i="42"/>
  <c r="R1544" i="42"/>
  <c r="R1277" i="42"/>
  <c r="R825" i="42"/>
  <c r="R793" i="42"/>
  <c r="R1079" i="42"/>
  <c r="R161" i="42"/>
  <c r="R234" i="42"/>
  <c r="R1500" i="42"/>
  <c r="R1335" i="42"/>
  <c r="R1290" i="42"/>
  <c r="R590" i="42"/>
  <c r="R1462" i="42"/>
  <c r="R1383" i="42"/>
  <c r="R441" i="42"/>
  <c r="R543" i="42"/>
  <c r="R1178" i="42"/>
  <c r="R1025" i="42"/>
  <c r="R637" i="42"/>
  <c r="R800" i="42"/>
  <c r="R732" i="42"/>
  <c r="R395" i="42"/>
  <c r="R496" i="42"/>
  <c r="R613" i="42"/>
  <c r="R38" i="42"/>
  <c r="R513" i="42"/>
  <c r="R398" i="42"/>
  <c r="R1342" i="42"/>
  <c r="R1397" i="42"/>
  <c r="R1069" i="42"/>
  <c r="R1424" i="42"/>
  <c r="R382" i="42"/>
  <c r="R1270" i="42"/>
  <c r="R308" i="42"/>
  <c r="R943" i="42"/>
  <c r="R1348" i="42"/>
  <c r="R688" i="42"/>
  <c r="R892" i="42"/>
  <c r="R647" i="42"/>
  <c r="R864" i="42"/>
  <c r="R577" i="42"/>
  <c r="R100" i="42"/>
  <c r="R48" i="42"/>
  <c r="R1282" i="42"/>
  <c r="R1126" i="42"/>
  <c r="R871" i="42"/>
  <c r="R1310" i="42"/>
  <c r="R1449" i="42"/>
  <c r="R368" i="42"/>
  <c r="R1289" i="42"/>
  <c r="R12" i="42"/>
  <c r="R1148" i="42"/>
  <c r="R933" i="42"/>
  <c r="R919" i="42"/>
  <c r="R285" i="42"/>
  <c r="R414" i="42"/>
  <c r="R1404" i="42"/>
  <c r="R52" i="42"/>
  <c r="R1401" i="42"/>
  <c r="R1405" i="42"/>
  <c r="R873" i="42"/>
  <c r="R1305" i="42"/>
  <c r="R1429" i="42"/>
  <c r="R1266" i="42"/>
  <c r="R1346" i="42"/>
  <c r="R1350" i="42"/>
  <c r="R1354" i="42"/>
  <c r="R1253" i="42"/>
  <c r="R1146" i="42"/>
  <c r="R432" i="42"/>
  <c r="R510" i="42"/>
  <c r="R230" i="42"/>
  <c r="R638" i="42"/>
  <c r="R806" i="42"/>
  <c r="R700" i="42"/>
  <c r="R1179" i="42"/>
  <c r="R1157" i="42"/>
  <c r="R692" i="42"/>
  <c r="R1273" i="42"/>
  <c r="R131" i="42"/>
  <c r="R345" i="42"/>
  <c r="R1222" i="42"/>
  <c r="R1003" i="42"/>
  <c r="R267" i="42"/>
  <c r="R480" i="42"/>
  <c r="R928" i="42"/>
  <c r="R14" i="42"/>
  <c r="R340" i="42"/>
  <c r="R606" i="42"/>
  <c r="R709" i="42"/>
  <c r="R97" i="42"/>
  <c r="R1099" i="42"/>
  <c r="R68" i="42"/>
  <c r="R831" i="42"/>
  <c r="R1084" i="42"/>
  <c r="R83" i="42"/>
  <c r="R289" i="42"/>
  <c r="R684" i="42"/>
  <c r="R1532" i="42"/>
  <c r="R659" i="42"/>
  <c r="R824" i="42"/>
  <c r="R1258" i="42"/>
  <c r="R1477" i="42"/>
  <c r="R1205" i="42"/>
  <c r="R848" i="42"/>
  <c r="R932" i="42"/>
  <c r="R1325" i="42"/>
  <c r="R1309" i="42"/>
  <c r="R1234" i="42"/>
  <c r="R1368" i="42"/>
  <c r="R1372" i="42"/>
  <c r="R1376" i="42"/>
  <c r="R1171" i="42"/>
  <c r="R587" i="42"/>
  <c r="R526" i="42"/>
  <c r="R419" i="42"/>
  <c r="R648" i="42"/>
  <c r="R826" i="42"/>
  <c r="R778" i="42"/>
  <c r="R896" i="42"/>
  <c r="R1255" i="42"/>
  <c r="R809" i="42"/>
  <c r="R1299" i="42"/>
  <c r="R173" i="42"/>
  <c r="R355" i="42"/>
  <c r="R1226" i="42"/>
  <c r="R1023" i="42"/>
  <c r="R104" i="42"/>
  <c r="R269" i="42"/>
  <c r="R497" i="42"/>
  <c r="R909" i="42"/>
  <c r="R105" i="42"/>
  <c r="R361" i="42"/>
  <c r="R612" i="42"/>
  <c r="R1358" i="42"/>
  <c r="R790" i="42"/>
  <c r="R162" i="42"/>
  <c r="R881" i="42"/>
  <c r="R24" i="42"/>
  <c r="R940" i="42"/>
  <c r="R963" i="42"/>
  <c r="R1280" i="42"/>
  <c r="R70" i="42"/>
  <c r="R273" i="42"/>
  <c r="R488" i="42"/>
  <c r="R895" i="42"/>
  <c r="R760" i="42"/>
  <c r="R978" i="42"/>
  <c r="R685" i="42"/>
  <c r="R882" i="42"/>
  <c r="R820" i="42"/>
  <c r="R781" i="42"/>
  <c r="R738" i="42"/>
  <c r="R1062" i="42"/>
  <c r="R693" i="42"/>
  <c r="R211" i="42"/>
  <c r="R1535" i="42"/>
  <c r="R198" i="42"/>
  <c r="R421" i="42"/>
  <c r="R621" i="42"/>
  <c r="R96" i="42"/>
  <c r="R315" i="42"/>
  <c r="R545" i="42"/>
  <c r="R755" i="42"/>
  <c r="R139" i="42"/>
  <c r="R178" i="42"/>
  <c r="R172" i="42"/>
  <c r="R381" i="42"/>
  <c r="R591" i="42"/>
  <c r="R560" i="42"/>
  <c r="R908" i="42"/>
  <c r="R278" i="42"/>
  <c r="R436" i="42"/>
  <c r="R625" i="42"/>
  <c r="R1009" i="42"/>
  <c r="R1523" i="42"/>
  <c r="R1441" i="42"/>
  <c r="R1095" i="42"/>
  <c r="R907" i="42"/>
  <c r="R868" i="42"/>
  <c r="R1412" i="42"/>
  <c r="R878" i="42"/>
  <c r="R159" i="42"/>
  <c r="R1213" i="42"/>
  <c r="R1047" i="42"/>
  <c r="R291" i="42"/>
  <c r="R98" i="42"/>
  <c r="R1447" i="42"/>
  <c r="R1186" i="42"/>
  <c r="R300" i="42"/>
  <c r="R1000" i="42"/>
  <c r="R34" i="42"/>
  <c r="R1020" i="42"/>
  <c r="R973" i="42"/>
  <c r="R1297" i="42"/>
  <c r="R26" i="42"/>
  <c r="R297" i="42"/>
  <c r="R501" i="42"/>
  <c r="R877" i="42"/>
  <c r="R701" i="42"/>
  <c r="R998" i="42"/>
  <c r="R925" i="42"/>
  <c r="R941" i="42"/>
  <c r="R861" i="42"/>
  <c r="R706" i="42"/>
  <c r="R784" i="42"/>
  <c r="R724" i="42"/>
  <c r="R798" i="42"/>
  <c r="R196" i="42"/>
  <c r="R9" i="42"/>
  <c r="R242" i="42"/>
  <c r="R428" i="42"/>
  <c r="R627" i="42"/>
  <c r="R84" i="42"/>
  <c r="R343" i="42"/>
  <c r="R552" i="42"/>
  <c r="R745" i="42"/>
  <c r="R365" i="42"/>
  <c r="R212" i="42"/>
  <c r="R158" i="42"/>
  <c r="R370" i="42"/>
  <c r="R602" i="42"/>
  <c r="R570" i="42"/>
  <c r="R947" i="42"/>
  <c r="R296" i="42"/>
  <c r="R446" i="42"/>
  <c r="R629" i="42"/>
  <c r="R1029" i="42"/>
  <c r="R1529" i="42"/>
  <c r="R1516" i="42"/>
  <c r="R1235" i="42"/>
  <c r="R1130" i="42"/>
  <c r="R1237" i="42"/>
  <c r="R1319" i="42"/>
  <c r="R994" i="42"/>
  <c r="R690" i="42"/>
  <c r="R1427" i="42"/>
  <c r="R1261" i="42"/>
  <c r="R511" i="42"/>
  <c r="R936" i="42"/>
  <c r="R674" i="42"/>
  <c r="R1018" i="42"/>
  <c r="R1005" i="42"/>
  <c r="R922" i="42"/>
  <c r="R883" i="42"/>
  <c r="R785" i="42"/>
  <c r="R226" i="42"/>
  <c r="R19" i="42"/>
  <c r="R236" i="42"/>
  <c r="R642" i="42"/>
  <c r="R75" i="42"/>
  <c r="R356" i="42"/>
  <c r="R562" i="42"/>
  <c r="R788" i="42"/>
  <c r="R369" i="42"/>
  <c r="R192" i="42"/>
  <c r="R152" i="42"/>
  <c r="R374" i="42"/>
  <c r="R603" i="42"/>
  <c r="R581" i="42"/>
  <c r="R957" i="42"/>
  <c r="R756" i="42"/>
  <c r="R304" i="42"/>
  <c r="R456" i="42"/>
  <c r="R656" i="42"/>
  <c r="R1053" i="42"/>
  <c r="R1482" i="42"/>
  <c r="R1517" i="42"/>
  <c r="R1318" i="42"/>
  <c r="R1181" i="42"/>
  <c r="R1154" i="42"/>
  <c r="R608" i="42"/>
  <c r="R822" i="42"/>
  <c r="R567" i="42"/>
  <c r="R1220" i="42"/>
  <c r="R505" i="42"/>
  <c r="R261" i="42"/>
  <c r="R1493" i="42"/>
  <c r="R1193" i="42"/>
  <c r="R1374" i="42"/>
  <c r="R1353" i="42"/>
  <c r="R440" i="42"/>
  <c r="R708" i="42"/>
  <c r="R150" i="42"/>
  <c r="R728" i="42"/>
  <c r="R499" i="42"/>
  <c r="R1194" i="42"/>
  <c r="R1088" i="42"/>
  <c r="R1475" i="42"/>
  <c r="R1100" i="42"/>
  <c r="R731" i="42"/>
  <c r="R325" i="42"/>
  <c r="R663" i="42"/>
  <c r="R119" i="42"/>
  <c r="R986" i="42"/>
  <c r="R1224" i="42"/>
  <c r="R65" i="42"/>
  <c r="R309" i="42"/>
  <c r="R1459" i="42"/>
  <c r="R1473" i="42"/>
  <c r="R1468" i="42"/>
  <c r="R604" i="42"/>
  <c r="R1460" i="42"/>
  <c r="R228" i="42"/>
  <c r="R1054" i="42"/>
  <c r="R447" i="42"/>
  <c r="R384" i="42"/>
  <c r="R389" i="42"/>
  <c r="R1417" i="42"/>
  <c r="R1306" i="42"/>
  <c r="R1384" i="42"/>
  <c r="R1151" i="42"/>
  <c r="R794" i="42"/>
  <c r="R253" i="42"/>
  <c r="R805" i="42"/>
  <c r="R736" i="42"/>
  <c r="R287" i="42"/>
  <c r="R1301" i="42"/>
  <c r="R85" i="42"/>
  <c r="R1321" i="42"/>
  <c r="R146" i="42"/>
  <c r="R1078" i="42"/>
  <c r="R443" i="42"/>
  <c r="R1243" i="42"/>
  <c r="R1316" i="42"/>
  <c r="R1133" i="42"/>
  <c r="R1145" i="42"/>
  <c r="R1288" i="42"/>
  <c r="R912" i="42"/>
  <c r="R972" i="42"/>
  <c r="R1387" i="42"/>
  <c r="R1371" i="42"/>
  <c r="R484" i="42"/>
  <c r="R323" i="42"/>
  <c r="R1254" i="42"/>
  <c r="R1067" i="42"/>
  <c r="R646" i="42"/>
  <c r="R247" i="42"/>
  <c r="R448" i="42"/>
  <c r="R876" i="42"/>
  <c r="R795" i="42"/>
  <c r="R918" i="42"/>
  <c r="R1136" i="42"/>
  <c r="R1274" i="42"/>
  <c r="R134" i="42"/>
  <c r="R383" i="42"/>
  <c r="R750" i="42"/>
  <c r="R1081" i="42"/>
  <c r="R22" i="42"/>
  <c r="R301" i="42"/>
  <c r="R542" i="42"/>
  <c r="R988" i="42"/>
  <c r="R79" i="42"/>
  <c r="R402" i="42"/>
  <c r="R624" i="42"/>
  <c r="R1311" i="42"/>
  <c r="R1474" i="42"/>
  <c r="R747" i="42"/>
  <c r="R670" i="42"/>
  <c r="R54" i="42"/>
  <c r="R671" i="42"/>
  <c r="R1013" i="42"/>
  <c r="R1218" i="42"/>
  <c r="R46" i="42"/>
  <c r="R321" i="42"/>
  <c r="R519" i="42"/>
  <c r="R917" i="42"/>
  <c r="R691" i="42"/>
  <c r="R1042" i="42"/>
  <c r="R1286" i="42"/>
  <c r="R971" i="42"/>
  <c r="R942" i="42"/>
  <c r="R843" i="42"/>
  <c r="R846" i="42"/>
  <c r="R837" i="42"/>
  <c r="R839" i="42"/>
  <c r="R256" i="42"/>
  <c r="R11" i="42"/>
  <c r="R251" i="42"/>
  <c r="R451" i="42"/>
  <c r="R651" i="42"/>
  <c r="R31" i="42"/>
  <c r="R366" i="42"/>
  <c r="R572" i="42"/>
  <c r="R816" i="42"/>
  <c r="R397" i="42"/>
  <c r="R216" i="42"/>
  <c r="R133" i="42"/>
  <c r="R410" i="42"/>
  <c r="R632" i="42"/>
  <c r="R586" i="42"/>
  <c r="R987" i="42"/>
  <c r="R827" i="42"/>
  <c r="R322" i="42"/>
  <c r="R466" i="42"/>
  <c r="R666" i="42"/>
  <c r="R1097" i="42"/>
  <c r="R1508" i="42"/>
  <c r="R1514" i="42"/>
  <c r="R1196" i="42"/>
  <c r="R455" i="42"/>
  <c r="R429" i="42"/>
  <c r="R720" i="42"/>
  <c r="R156" i="42"/>
  <c r="R1110" i="42"/>
  <c r="R107" i="42"/>
  <c r="R1115" i="42"/>
  <c r="R1518" i="42"/>
  <c r="R1127" i="42"/>
  <c r="R47" i="42"/>
  <c r="R1087" i="42"/>
  <c r="R372" i="42"/>
  <c r="R867" i="42"/>
  <c r="R1039" i="42"/>
  <c r="R332" i="42"/>
  <c r="R485" i="42"/>
  <c r="R787" i="42"/>
  <c r="R391" i="42"/>
  <c r="R362" i="42"/>
  <c r="R1303" i="42"/>
  <c r="R1314" i="42"/>
  <c r="R1092" i="42"/>
  <c r="R1334" i="42"/>
  <c r="R699" i="42"/>
  <c r="R1293" i="42"/>
  <c r="R575" i="42"/>
  <c r="R94" i="42"/>
  <c r="R1245" i="42"/>
  <c r="R730" i="42"/>
  <c r="R1191" i="42"/>
  <c r="R1388" i="42"/>
  <c r="R854" i="42"/>
  <c r="R507" i="42"/>
  <c r="R1068" i="42"/>
  <c r="R937" i="42"/>
  <c r="R86" i="42"/>
  <c r="R819" i="42"/>
  <c r="R1271" i="42"/>
  <c r="R1294" i="42"/>
  <c r="R580" i="42"/>
  <c r="R1336" i="42"/>
  <c r="R1080" i="42"/>
  <c r="R961" i="42"/>
  <c r="R992" i="42"/>
  <c r="R1407" i="42"/>
  <c r="R1391" i="42"/>
  <c r="R565" i="42"/>
  <c r="R445" i="42"/>
  <c r="R1466" i="42"/>
  <c r="R1260" i="42"/>
  <c r="R260" i="42"/>
  <c r="R233" i="42"/>
  <c r="R460" i="42"/>
  <c r="R1291" i="42"/>
  <c r="R935" i="42"/>
  <c r="R807" i="42"/>
  <c r="R967" i="42"/>
  <c r="R17" i="42"/>
  <c r="R1156" i="42"/>
  <c r="R1478" i="42"/>
  <c r="R180" i="42"/>
  <c r="R393" i="42"/>
  <c r="R782" i="42"/>
  <c r="R1111" i="42"/>
  <c r="R32" i="42"/>
  <c r="R327" i="42"/>
  <c r="R553" i="42"/>
  <c r="R1008" i="42"/>
  <c r="R53" i="42"/>
  <c r="R388" i="42"/>
  <c r="R634" i="42"/>
  <c r="R1331" i="42"/>
  <c r="R1454" i="42"/>
  <c r="R761" i="42"/>
  <c r="R985" i="42"/>
  <c r="R64" i="42"/>
  <c r="R811" i="42"/>
  <c r="R1033" i="42"/>
  <c r="R676" i="42"/>
  <c r="R56" i="42"/>
  <c r="R329" i="42"/>
  <c r="R527" i="42"/>
  <c r="R966" i="42"/>
  <c r="R796" i="42"/>
  <c r="R1076" i="42"/>
  <c r="R1269" i="42"/>
  <c r="R981" i="42"/>
  <c r="R982" i="42"/>
  <c r="R901" i="42"/>
  <c r="R1515" i="42"/>
  <c r="R1119" i="42"/>
  <c r="R858" i="42"/>
  <c r="R77" i="42"/>
  <c r="R115" i="42"/>
  <c r="R279" i="42"/>
  <c r="R463" i="42"/>
  <c r="R661" i="42"/>
  <c r="R41" i="42"/>
  <c r="R378" i="42"/>
  <c r="R582" i="42"/>
  <c r="R833" i="42"/>
  <c r="R403" i="42"/>
  <c r="R244" i="42"/>
  <c r="R174" i="42"/>
  <c r="R418" i="42"/>
  <c r="R639" i="42"/>
  <c r="R620" i="42"/>
  <c r="R1007" i="42"/>
  <c r="R875" i="42"/>
  <c r="R328" i="42"/>
  <c r="R486" i="42"/>
  <c r="R683" i="42"/>
  <c r="R1513" i="42"/>
  <c r="R1512" i="42"/>
  <c r="R1536" i="42"/>
  <c r="R1491" i="42"/>
  <c r="R1445" i="42"/>
  <c r="R1242" i="42"/>
  <c r="R1352" i="42"/>
  <c r="R274" i="42"/>
  <c r="R764" i="42"/>
  <c r="R442" i="42"/>
  <c r="R1121" i="42"/>
  <c r="R920" i="42"/>
  <c r="R799" i="42"/>
  <c r="R422" i="42"/>
  <c r="R640" i="42"/>
  <c r="R739" i="42"/>
  <c r="R1425" i="42"/>
  <c r="R1402" i="42"/>
  <c r="R1129" i="42"/>
  <c r="R576" i="42"/>
  <c r="R20" i="42"/>
  <c r="R155" i="42"/>
  <c r="R221" i="42"/>
  <c r="R367" i="42"/>
  <c r="R264" i="42"/>
  <c r="R1479" i="42"/>
  <c r="R1131" i="42"/>
  <c r="R1416" i="42"/>
  <c r="R1480" i="42"/>
  <c r="R904" i="42"/>
  <c r="R1450" i="42"/>
  <c r="R704" i="42"/>
  <c r="R803" i="42"/>
  <c r="R240" i="42"/>
  <c r="R1077" i="42"/>
  <c r="R844" i="42"/>
  <c r="R160" i="42"/>
  <c r="R227" i="42"/>
  <c r="R126" i="42"/>
  <c r="R1037" i="42"/>
  <c r="R1339" i="42"/>
  <c r="R1106" i="42"/>
  <c r="R1123" i="42"/>
  <c r="R1432" i="42"/>
  <c r="R734" i="42"/>
  <c r="R1442" i="42"/>
  <c r="R1403" i="42"/>
  <c r="R453" i="42"/>
  <c r="R554" i="42"/>
  <c r="R1448" i="42"/>
  <c r="R828" i="42"/>
  <c r="R113" i="42"/>
  <c r="R821" i="42"/>
  <c r="R753" i="42"/>
  <c r="R1267" i="42"/>
  <c r="R318" i="42"/>
  <c r="R522" i="42"/>
  <c r="R910" i="42"/>
  <c r="R1453" i="42"/>
  <c r="R1326" i="42"/>
  <c r="R215" i="42"/>
  <c r="R697" i="42"/>
  <c r="R983" i="42"/>
  <c r="R333" i="42"/>
  <c r="R87" i="42"/>
  <c r="R262" i="42"/>
  <c r="R667" i="42"/>
  <c r="R860" i="42"/>
  <c r="R859" i="42"/>
  <c r="R412" i="42"/>
  <c r="R13" i="42"/>
  <c r="R1101" i="42"/>
  <c r="R913" i="42"/>
  <c r="R225" i="42"/>
  <c r="R658" i="42"/>
  <c r="R1361" i="42"/>
  <c r="R364" i="42"/>
  <c r="R1422" i="42"/>
  <c r="R1147" i="42"/>
  <c r="R1349" i="42"/>
  <c r="R1149" i="42"/>
  <c r="R438" i="42"/>
  <c r="R894" i="42"/>
  <c r="R1125" i="42"/>
  <c r="R399" i="42"/>
  <c r="R1061" i="42"/>
  <c r="R293" i="42"/>
  <c r="R958" i="42"/>
  <c r="R595" i="42"/>
  <c r="R1174" i="42"/>
  <c r="R44" i="42"/>
  <c r="R993" i="42"/>
  <c r="R823" i="42"/>
  <c r="R1167" i="42"/>
  <c r="R1203" i="42"/>
  <c r="R1356" i="42"/>
  <c r="R1458" i="42"/>
  <c r="R1117" i="42"/>
  <c r="R991" i="42"/>
  <c r="R1012" i="42"/>
  <c r="R1070" i="42"/>
  <c r="R1411" i="42"/>
  <c r="R665" i="42"/>
  <c r="R465" i="42"/>
  <c r="R1446" i="42"/>
  <c r="R1551" i="42"/>
  <c r="R1550" i="42"/>
  <c r="R282" i="42"/>
  <c r="R246" i="42"/>
  <c r="R468" i="42"/>
  <c r="R916" i="42"/>
  <c r="R830" i="42"/>
  <c r="R977" i="42"/>
  <c r="R114" i="42"/>
  <c r="R1340" i="42"/>
  <c r="R197" i="42"/>
  <c r="R375" i="42"/>
  <c r="R758" i="42"/>
  <c r="R1096" i="42"/>
  <c r="R42" i="42"/>
  <c r="R336" i="42"/>
  <c r="R563" i="42"/>
  <c r="R1028" i="42"/>
  <c r="R63" i="42"/>
  <c r="R416" i="42"/>
  <c r="R644" i="42"/>
  <c r="R1393" i="42"/>
  <c r="R1434" i="42"/>
  <c r="R797" i="42"/>
  <c r="R1113" i="42"/>
  <c r="R125" i="42"/>
  <c r="R863" i="42"/>
  <c r="R1036" i="42"/>
  <c r="R715" i="42"/>
  <c r="R66" i="42"/>
  <c r="R335" i="42"/>
  <c r="R540" i="42"/>
  <c r="R976" i="42"/>
  <c r="R808" i="42"/>
  <c r="R898" i="42"/>
  <c r="R1244" i="42"/>
  <c r="R1001" i="42"/>
  <c r="R1022" i="42"/>
  <c r="R903" i="42"/>
  <c r="R735" i="42"/>
  <c r="R1189" i="42"/>
  <c r="R1093" i="42"/>
  <c r="R182" i="42"/>
  <c r="R111" i="42"/>
  <c r="R288" i="42"/>
  <c r="R471" i="42"/>
  <c r="R777" i="42"/>
  <c r="R51" i="42"/>
  <c r="R400" i="42"/>
  <c r="R584" i="42"/>
  <c r="R852" i="42"/>
  <c r="R417" i="42"/>
  <c r="R231" i="42"/>
  <c r="R201" i="42"/>
  <c r="R439" i="42"/>
  <c r="R649" i="42"/>
  <c r="R600" i="42"/>
  <c r="R223" i="42"/>
  <c r="R1027" i="42"/>
  <c r="R915" i="42"/>
  <c r="R334" i="42"/>
  <c r="R500" i="42"/>
  <c r="R726" i="42"/>
  <c r="R1484" i="42"/>
  <c r="R1519" i="42"/>
  <c r="R1490" i="42"/>
  <c r="R1530" i="42"/>
  <c r="R1382" i="42"/>
  <c r="R1010" i="42"/>
  <c r="R1542" i="42"/>
  <c r="R1503" i="42"/>
  <c r="R147" i="42"/>
  <c r="R1406" i="42"/>
  <c r="R786" i="42"/>
  <c r="R1040" i="42"/>
  <c r="R1112" i="42"/>
  <c r="R319" i="42"/>
  <c r="R475" i="42"/>
  <c r="R469" i="42"/>
  <c r="R1486" i="42"/>
  <c r="R1534" i="42"/>
  <c r="R1488" i="42"/>
  <c r="R1386" i="42"/>
  <c r="R1250" i="42"/>
  <c r="R1236" i="42"/>
  <c r="R298" i="42"/>
  <c r="R1015" i="42"/>
  <c r="R110" i="42"/>
  <c r="R810" i="42"/>
  <c r="R1116" i="42"/>
  <c r="R1327" i="42"/>
  <c r="R926" i="42"/>
  <c r="R579" i="42"/>
  <c r="R818" i="42"/>
  <c r="R628" i="42"/>
  <c r="R650" i="42"/>
  <c r="R1322" i="42"/>
  <c r="R1209" i="42"/>
  <c r="R1225" i="42"/>
  <c r="R673" i="42"/>
  <c r="R1377" i="42"/>
  <c r="R39" i="42"/>
  <c r="R1365" i="42"/>
  <c r="R270" i="42"/>
  <c r="R1284" i="42"/>
  <c r="R1217" i="42"/>
  <c r="R437" i="42"/>
  <c r="R897" i="42"/>
  <c r="R1162" i="42"/>
  <c r="R678" i="42"/>
  <c r="R571" i="42"/>
  <c r="R454" i="42"/>
  <c r="R530" i="42"/>
  <c r="R566" i="42"/>
  <c r="R1524" i="42"/>
  <c r="R1198" i="42"/>
  <c r="R1455" i="42"/>
  <c r="R1098" i="42"/>
  <c r="R1292" i="42"/>
  <c r="R49" i="42"/>
  <c r="R292" i="42"/>
  <c r="R872" i="42"/>
  <c r="R679" i="42"/>
  <c r="R759" i="42"/>
  <c r="R1510" i="42"/>
  <c r="R506" i="42"/>
  <c r="R1537" i="42"/>
  <c r="R1364" i="42"/>
  <c r="R1469" i="42"/>
  <c r="R1252" i="42"/>
  <c r="R891" i="42"/>
  <c r="R1192" i="42"/>
  <c r="R313" i="42"/>
  <c r="R1265" i="42"/>
  <c r="R1296" i="42"/>
  <c r="R467" i="42"/>
  <c r="R775" i="42"/>
  <c r="R404" i="42"/>
  <c r="R645" i="42"/>
  <c r="R959" i="42"/>
  <c r="R1238" i="42"/>
  <c r="R1345" i="42"/>
  <c r="R1396" i="42"/>
  <c r="R885" i="42"/>
  <c r="R857" i="42"/>
  <c r="R619" i="42"/>
  <c r="R1114" i="42"/>
  <c r="R931" i="42"/>
  <c r="R1367" i="42"/>
  <c r="R277" i="42"/>
  <c r="R1408" i="42"/>
  <c r="R1210" i="42"/>
  <c r="R597" i="42"/>
  <c r="R774" i="42"/>
  <c r="R1180" i="42"/>
  <c r="R1381" i="42"/>
  <c r="R1166" i="42"/>
  <c r="R78" i="42"/>
  <c r="R537" i="42"/>
  <c r="R392" i="42"/>
  <c r="R1108" i="42"/>
  <c r="R36" i="42"/>
  <c r="R801" i="42"/>
  <c r="R1182" i="42"/>
  <c r="R1378" i="42"/>
  <c r="R1300" i="42"/>
  <c r="R1011" i="42"/>
  <c r="R1032" i="42"/>
  <c r="R1132" i="42"/>
  <c r="R1176" i="42"/>
  <c r="R538" i="42"/>
  <c r="R1426" i="42"/>
  <c r="R930" i="42"/>
  <c r="R1359" i="42"/>
  <c r="R330" i="42"/>
  <c r="R266" i="42"/>
  <c r="R478" i="42"/>
  <c r="R965" i="42"/>
  <c r="R855" i="42"/>
  <c r="R997" i="42"/>
  <c r="R102" i="42"/>
  <c r="R1546" i="42"/>
  <c r="R1275" i="42"/>
  <c r="R188" i="42"/>
  <c r="R409" i="42"/>
  <c r="R716" i="42"/>
  <c r="R1435" i="42"/>
  <c r="R62" i="42"/>
  <c r="R339" i="42"/>
  <c r="R573" i="42"/>
  <c r="R1052" i="42"/>
  <c r="R123" i="42"/>
  <c r="R424" i="42"/>
  <c r="R654" i="42"/>
  <c r="R1262" i="42"/>
  <c r="R1324" i="42"/>
  <c r="R23" i="42"/>
  <c r="R725" i="42"/>
  <c r="R168" i="42"/>
  <c r="R945" i="42"/>
  <c r="R1071" i="42"/>
  <c r="R727" i="42"/>
  <c r="R127" i="42"/>
  <c r="R359" i="42"/>
  <c r="R547" i="42"/>
  <c r="R996" i="42"/>
  <c r="R1124" i="42"/>
  <c r="R880" i="42"/>
  <c r="R1204" i="42"/>
  <c r="R1021" i="42"/>
  <c r="R1046" i="42"/>
  <c r="R952" i="42"/>
  <c r="R924" i="42"/>
  <c r="R1177" i="42"/>
  <c r="R1139" i="42"/>
  <c r="R268" i="42"/>
  <c r="R95" i="42"/>
  <c r="R272" i="42"/>
  <c r="R482" i="42"/>
  <c r="R18" i="42"/>
  <c r="R61" i="42"/>
  <c r="R385" i="42"/>
  <c r="R617" i="42"/>
  <c r="R37" i="42"/>
  <c r="R425" i="42"/>
  <c r="R248" i="42"/>
  <c r="R187" i="42"/>
  <c r="R449" i="42"/>
  <c r="R669" i="42"/>
  <c r="R585" i="42"/>
  <c r="R1051" i="42"/>
  <c r="R974" i="42"/>
  <c r="R342" i="42"/>
  <c r="R518" i="42"/>
  <c r="R767" i="42"/>
  <c r="R1521" i="42"/>
  <c r="R1527" i="42"/>
  <c r="R1497" i="42"/>
  <c r="R1494" i="42"/>
  <c r="R249" i="42"/>
  <c r="R866" i="42"/>
  <c r="R1228" i="42"/>
  <c r="R237" i="42"/>
  <c r="R596" i="42"/>
  <c r="R549" i="42"/>
  <c r="R1102" i="42"/>
  <c r="R1230" i="42"/>
  <c r="R1343" i="42"/>
  <c r="R1330" i="42"/>
  <c r="R631" i="42"/>
  <c r="R120" i="42"/>
  <c r="R473" i="42"/>
  <c r="R802" i="42"/>
  <c r="R1006" i="42"/>
  <c r="R980" i="42"/>
  <c r="R135" i="42"/>
  <c r="R149" i="42"/>
  <c r="R614" i="42"/>
  <c r="R890" i="42"/>
  <c r="R1329" i="42"/>
  <c r="R539" i="42"/>
  <c r="R431" i="42"/>
  <c r="R695" i="42"/>
  <c r="R1202" i="42"/>
  <c r="R358" i="42"/>
  <c r="R948" i="42"/>
  <c r="R962" i="42"/>
  <c r="R218" i="42"/>
  <c r="R305" i="42"/>
  <c r="R1465" i="42"/>
  <c r="R1418" i="42"/>
  <c r="R1440" i="42"/>
  <c r="R1362" i="42"/>
  <c r="R1221" i="42"/>
  <c r="R1304" i="42"/>
  <c r="R1031" i="42"/>
  <c r="R1056" i="42"/>
  <c r="R1430" i="42"/>
  <c r="R1208" i="42"/>
  <c r="R1050" i="42"/>
  <c r="R655" i="42"/>
  <c r="R1332" i="42"/>
  <c r="R950" i="42"/>
  <c r="R1137" i="42"/>
  <c r="R405" i="42"/>
  <c r="R263" i="42"/>
  <c r="R492" i="42"/>
  <c r="R975" i="42"/>
  <c r="R1134" i="42"/>
  <c r="R1017" i="42"/>
  <c r="R89" i="42"/>
  <c r="R1461" i="42"/>
  <c r="R10" i="42"/>
  <c r="R222" i="42"/>
  <c r="R420" i="42"/>
  <c r="R769" i="42"/>
  <c r="R1385" i="42"/>
  <c r="R122" i="42"/>
  <c r="R360" i="42"/>
  <c r="R611" i="42"/>
  <c r="R1066" i="42"/>
  <c r="R167" i="42"/>
  <c r="R434" i="42"/>
  <c r="R664" i="42"/>
  <c r="R746" i="42"/>
  <c r="R1366" i="42"/>
  <c r="R33" i="42"/>
  <c r="R737" i="42"/>
  <c r="R164" i="42"/>
  <c r="R1063" i="42"/>
  <c r="R829" i="42"/>
  <c r="R733" i="42"/>
  <c r="R170" i="42"/>
  <c r="R349" i="42"/>
  <c r="R557" i="42"/>
  <c r="R1016" i="42"/>
  <c r="R694" i="42"/>
  <c r="R939" i="42"/>
  <c r="R1195" i="42"/>
  <c r="R1045" i="42"/>
  <c r="R1060" i="42"/>
  <c r="R1002" i="42"/>
  <c r="R1004" i="42"/>
  <c r="R232" i="42"/>
  <c r="R757" i="42"/>
  <c r="R316" i="42"/>
  <c r="R92" i="42"/>
  <c r="R284" i="42"/>
  <c r="R495" i="42"/>
  <c r="R112" i="42"/>
  <c r="R124" i="42"/>
  <c r="R376" i="42"/>
  <c r="R593" i="42"/>
  <c r="R1214" i="42"/>
  <c r="R435" i="42"/>
  <c r="R254" i="42"/>
  <c r="R219" i="42"/>
  <c r="R461" i="42"/>
  <c r="R729" i="42"/>
  <c r="R626" i="42"/>
  <c r="R1085" i="42"/>
  <c r="R1034" i="42"/>
  <c r="R357" i="42"/>
  <c r="R546" i="42"/>
  <c r="R749" i="42"/>
  <c r="R1538" i="42"/>
  <c r="R1487" i="42"/>
  <c r="R1507" i="42"/>
  <c r="R1531" i="42"/>
  <c r="Q8" i="38"/>
  <c r="H66" i="40"/>
  <c r="I912" i="38"/>
  <c r="I60" i="40"/>
  <c r="I66" i="40" s="1"/>
  <c r="I126" i="41"/>
  <c r="R8" i="42"/>
  <c r="L41" i="39"/>
  <c r="I915" i="38"/>
  <c r="I913" i="38"/>
  <c r="Q11" i="38"/>
  <c r="N38" i="40"/>
  <c r="P38" i="40"/>
  <c r="Q38" i="40" s="1"/>
  <c r="I124" i="41"/>
  <c r="L118" i="41"/>
  <c r="I914" i="38"/>
  <c r="I910" i="38"/>
  <c r="H56" i="39"/>
  <c r="Q27" i="40"/>
  <c r="P39" i="40"/>
  <c r="I48" i="39"/>
  <c r="I56" i="39" s="1"/>
  <c r="P41" i="39"/>
  <c r="Q41" i="39"/>
  <c r="I135" i="41" l="1"/>
  <c r="R2096" i="42"/>
  <c r="Q904" i="38"/>
  <c r="I921" i="38"/>
  <c r="Q39" i="40"/>
</calcChain>
</file>

<file path=xl/sharedStrings.xml><?xml version="1.0" encoding="utf-8"?>
<sst xmlns="http://schemas.openxmlformats.org/spreadsheetml/2006/main" count="29092" uniqueCount="7098">
  <si>
    <t xml:space="preserve">                     CONSEJO NACIONAL PARA EL VIH Y EL SIDA</t>
  </si>
  <si>
    <t xml:space="preserve">                        INVENTARIO GENERAL DE EQUIPOS Y MOBILIARIOS DE OFICINA - PROYECTO FONDO MUNDIAL</t>
  </si>
  <si>
    <t>Fecha</t>
  </si>
  <si>
    <t>Doc. Adquic.</t>
  </si>
  <si>
    <t>Código</t>
  </si>
  <si>
    <t>Descripción</t>
  </si>
  <si>
    <t>No. de Serie</t>
  </si>
  <si>
    <t xml:space="preserve">UBICACIÓN </t>
  </si>
  <si>
    <t>INSTITUCIONES</t>
  </si>
  <si>
    <t>Costo Adquisición</t>
  </si>
  <si>
    <t>Tasa</t>
  </si>
  <si>
    <t xml:space="preserve">Equivalentes en Dolares </t>
  </si>
  <si>
    <t>Vida Util</t>
  </si>
  <si>
    <t xml:space="preserve">Valor de Preciacion en Meses </t>
  </si>
  <si>
    <t>Meses Transcurridos</t>
  </si>
  <si>
    <t>Valor en Libro</t>
  </si>
  <si>
    <t>Proveedor</t>
  </si>
  <si>
    <t>Ck. 61 y       Ck 83</t>
  </si>
  <si>
    <t>N/A</t>
  </si>
  <si>
    <t>CONAVIHSIDA</t>
  </si>
  <si>
    <t>Mobiliario, S.A.</t>
  </si>
  <si>
    <t>Depto. Adquisiciones</t>
  </si>
  <si>
    <t>Sillón Técnico Mod. St-9642, tela, giratorio</t>
  </si>
  <si>
    <t>Santo Domingo, D.N.</t>
  </si>
  <si>
    <t>ASOC. PARA LA PROMOCION DE LA VIDA / COOVIDA</t>
  </si>
  <si>
    <t>DMR202G01H00-01-01616</t>
  </si>
  <si>
    <t>DMR202G01H00-01-01617</t>
  </si>
  <si>
    <t>DMR202G01H00-01-01618</t>
  </si>
  <si>
    <t>S/N</t>
  </si>
  <si>
    <t>Santo Domingo, D.N. Gascue</t>
  </si>
  <si>
    <t>MUEBLES OMAR</t>
  </si>
  <si>
    <t>Ck 364</t>
  </si>
  <si>
    <t>DMR202G01H00-01-01559</t>
  </si>
  <si>
    <t>Archivo de 2 Gavetas en Madera</t>
  </si>
  <si>
    <t>Coordinación Administrativa</t>
  </si>
  <si>
    <t>Edyjcsa comercial</t>
  </si>
  <si>
    <t>Ck 778</t>
  </si>
  <si>
    <t>DMR202G01H00-03-00021</t>
  </si>
  <si>
    <t>Camioneta Isuzu 2006 D/C Mecánicas Semi Full, color Dorada</t>
  </si>
  <si>
    <t>chassis: MPATFS54H6H516535</t>
  </si>
  <si>
    <t>Unidad de Transportación</t>
  </si>
  <si>
    <t>AUTOCAMIONES, C. POR A.</t>
  </si>
  <si>
    <t>DMR202G01H00-03-00023</t>
  </si>
  <si>
    <t>Camioneta Isuzu 2006 D/C Mecánicas Semi Full, color Rojo Vino</t>
  </si>
  <si>
    <t>chassis:MPATFS54H6H516518</t>
  </si>
  <si>
    <t>San Pedro de Macoris</t>
  </si>
  <si>
    <t>OFICINA REGIONAL DE SALUD - SAN PEDRO</t>
  </si>
  <si>
    <t>DMR202G01H00-03-00020</t>
  </si>
  <si>
    <t>chassis:MPATFS54H6H510601</t>
  </si>
  <si>
    <t>Felipa García Subervi</t>
  </si>
  <si>
    <t>ALIANZA SOLIDARIA PARA LA LUCHA CONTRA EL VIH/SIDA (ASOLSIDA)</t>
  </si>
  <si>
    <t>Ck 1108</t>
  </si>
  <si>
    <t>DMR202G01H00-01-01823</t>
  </si>
  <si>
    <t>Mesa de Computadora en Melanina Mod. 3995</t>
  </si>
  <si>
    <t>TRANS SIEMPRE AMIGAS / TRANSSA</t>
  </si>
  <si>
    <t>Limcoba</t>
  </si>
  <si>
    <t>Ck2406</t>
  </si>
  <si>
    <t>DMR202G01H00-02-00483</t>
  </si>
  <si>
    <t xml:space="preserve">Servidor Tipo B DELL 2850 X/3.2/4/73GB   </t>
  </si>
  <si>
    <t xml:space="preserve">103V1B1    </t>
  </si>
  <si>
    <t>Unidad de Tecnología</t>
  </si>
  <si>
    <t>CECOMSA</t>
  </si>
  <si>
    <t>DMR202G01H00-02-00500</t>
  </si>
  <si>
    <t xml:space="preserve">Servidor Tipo C DELL 2850 CD/2.8/73GB  </t>
  </si>
  <si>
    <t xml:space="preserve">4GXT1B1        </t>
  </si>
  <si>
    <t>DMR202G01H00-02-00501</t>
  </si>
  <si>
    <t xml:space="preserve">2GXT1B1  </t>
  </si>
  <si>
    <t>Santo Domingo Este</t>
  </si>
  <si>
    <t>HOSP. RAMON DE LARA / SAN ISIDRO</t>
  </si>
  <si>
    <t>Ck 2779</t>
  </si>
  <si>
    <t>DMR202G01H00-03-00025 y 28</t>
  </si>
  <si>
    <t>Jeep Toyota RAV4, Azul y Plateada, Año 2007 / Adquisicion de Dos (2) Vehiculos</t>
  </si>
  <si>
    <t xml:space="preserve">chassis: JTMBD31V905051556       y                        JTMBD31V305047406       </t>
  </si>
  <si>
    <t>Delta Comercial, CXA</t>
  </si>
  <si>
    <t>Ck 3142</t>
  </si>
  <si>
    <t>DMR202G01H00-02-00540</t>
  </si>
  <si>
    <t xml:space="preserve">Pantalla Electrica de Proyección </t>
  </si>
  <si>
    <t>Salón de Conferencia</t>
  </si>
  <si>
    <t>CODIMPSA</t>
  </si>
  <si>
    <t>La Vega</t>
  </si>
  <si>
    <t>HOSP. LUIS MORILLO KING / LA VEGA</t>
  </si>
  <si>
    <t>Ck 3139</t>
  </si>
  <si>
    <t>Archivo Metálico American, 4 gavetas, folder carta 81/2"x11", color crema</t>
  </si>
  <si>
    <t>DMR202G01H00-01-02232</t>
  </si>
  <si>
    <t>DMR202G01H00-01-02233</t>
  </si>
  <si>
    <t>DMR202G01H00-01-02234</t>
  </si>
  <si>
    <t>DMR202G01H00-01-02235</t>
  </si>
  <si>
    <t>DMR202G01H00-01-02236</t>
  </si>
  <si>
    <t>DMR202G01H00-01-02237</t>
  </si>
  <si>
    <t>Archivo Modular de 3 Gavetas ,color aluminio</t>
  </si>
  <si>
    <t>DMR202G01H00-01-02238</t>
  </si>
  <si>
    <t>DMR202G01H00-01-02239</t>
  </si>
  <si>
    <t>DMR202G01H00-01-02244</t>
  </si>
  <si>
    <t>Armario Metálico master. 2 puertas, 3 tramos 18"x36"x48", color crema</t>
  </si>
  <si>
    <t>DMR202G01H00-01-02245</t>
  </si>
  <si>
    <t>DMR202G01H00-01-02246</t>
  </si>
  <si>
    <t>DMR202G01H00-01-02252</t>
  </si>
  <si>
    <t>Bancada de 3 plazas, mod. B-301, tubo c/Lum,asiento y resp. Plastico.</t>
  </si>
  <si>
    <t>DMR202G01H00-01-02253</t>
  </si>
  <si>
    <t>DMR202G01H00-01-02254</t>
  </si>
  <si>
    <t>DMR202G01H00-01-02255</t>
  </si>
  <si>
    <t>DMR202G01H00-01-02256</t>
  </si>
  <si>
    <t>DMR202G01H00-01-02257</t>
  </si>
  <si>
    <t>DMR202G01H00-01-02258</t>
  </si>
  <si>
    <t>Base de 3 Apoyos para Mesa de conferencia, Ref. 023A,</t>
  </si>
  <si>
    <t>DMR202G01H00-01-02291</t>
  </si>
  <si>
    <t>Butaca de visita, mod. BV-gob, tela, tubo c/aluminio, importada, color negra</t>
  </si>
  <si>
    <t>DMR202G01H00-01-02292</t>
  </si>
  <si>
    <t>DMR202G01H00-01-02259</t>
  </si>
  <si>
    <t>Escritorio en Melamina, mod. Zk160, Haya, 28" x 28"</t>
  </si>
  <si>
    <t>DMR202G01H00-01-02260</t>
  </si>
  <si>
    <t>DMR202G01H00-01-02262</t>
  </si>
  <si>
    <t>DMR202G01H00-01-02263</t>
  </si>
  <si>
    <t>DMR202G01H00-01-02264</t>
  </si>
  <si>
    <t>DMR202G01H00-01-02340</t>
  </si>
  <si>
    <t>Estante con Puertas Baja, mod. 2000, en Melamina c/Haya, de 16"x36"x60"</t>
  </si>
  <si>
    <t>DMR202G01H00-01-02341</t>
  </si>
  <si>
    <t>DMR202G01H00-01-02366</t>
  </si>
  <si>
    <t>Gabinete p/panel, P:0.35mt, L:0.80mt, H: 0.43nt (131/2"x311/2"x17")</t>
  </si>
  <si>
    <t>DMR202G01H00-01-02367</t>
  </si>
  <si>
    <t>DMR202G01H00-01-02368</t>
  </si>
  <si>
    <t>DMR202G01H00-01-02369</t>
  </si>
  <si>
    <t>DMR202G01H00-01-02279</t>
  </si>
  <si>
    <t>Gaveta paraTeclado color gris</t>
  </si>
  <si>
    <t>DMR202G01H00-01-02280</t>
  </si>
  <si>
    <t>DMR202G01H00-01-02281</t>
  </si>
  <si>
    <t>DMR202G01H00-01-02282</t>
  </si>
  <si>
    <t>DMR202G01H00-01-02283</t>
  </si>
  <si>
    <t>DMR202G01H00-01-02270</t>
  </si>
  <si>
    <t>Mesa de Cafeteria Redonda, mod. MC-207, metal c/aluminio, 32"D</t>
  </si>
  <si>
    <t>Moldura de Terminación, H: 1.50mt. Cantidad: 08 Unidades.</t>
  </si>
  <si>
    <t>Moldura de Unión para 2 paredes, H: 1.50Mt. Cantidad: 04 Unidades.</t>
  </si>
  <si>
    <t>Moldura Unión tipo L, H: 1.50Mt.       Cantidad: 04 Unidades.</t>
  </si>
  <si>
    <t>DMR202G01H00-01-02272</t>
  </si>
  <si>
    <t>Panel Divisorio con tela , L:0.70 mt, H: 1.5mt, importado</t>
  </si>
  <si>
    <t>DMR202G01H00-01-02273</t>
  </si>
  <si>
    <t>DMR202G01H00-01-02274</t>
  </si>
  <si>
    <t>DMR202G01H00-01-02275</t>
  </si>
  <si>
    <t>DMR202G01H00-01-02276</t>
  </si>
  <si>
    <t>PANEL Divisorio con tela, L: 0.80mt, H: 1.5mt, importado</t>
  </si>
  <si>
    <t>DMR202G01H00-01-02277</t>
  </si>
  <si>
    <t>DMR202G01H00-01-02278</t>
  </si>
  <si>
    <t>DMR202G01H00-01-02293</t>
  </si>
  <si>
    <t>Silla de Visita, mod. VISI, en tela, tubo negro, importada, color negra</t>
  </si>
  <si>
    <t>DMR202G01H00-01-02294</t>
  </si>
  <si>
    <t>DMR202G01H00-01-02295</t>
  </si>
  <si>
    <t>DMR202G01H00-01-02296</t>
  </si>
  <si>
    <t>DMR202G01H00-01-02297</t>
  </si>
  <si>
    <t>DMR202G01H00-01-02298</t>
  </si>
  <si>
    <t>DMR202G01H00-01-02299</t>
  </si>
  <si>
    <t>DMR202G01H00-01-02300</t>
  </si>
  <si>
    <t>DMR202G01H00-01-02301</t>
  </si>
  <si>
    <t>DMR202G01H00-01-02302</t>
  </si>
  <si>
    <t>DMR202G01H00-01-02303</t>
  </si>
  <si>
    <t>DMR202G01H00-01-02304</t>
  </si>
  <si>
    <t>DMR202G01H00-01-02305</t>
  </si>
  <si>
    <t>DMR202G01H00-01-02306</t>
  </si>
  <si>
    <t>DMR202G01H00-01-02307</t>
  </si>
  <si>
    <t>DMR202G01H00-01-02308</t>
  </si>
  <si>
    <t>DMR202G01H00-01-02309</t>
  </si>
  <si>
    <t>DMR202G01H00-01-02310</t>
  </si>
  <si>
    <t>DMR202G01H00-01-02311</t>
  </si>
  <si>
    <t>DMR202G01H00-01-02312</t>
  </si>
  <si>
    <t>DMR202G01H00-01-02313</t>
  </si>
  <si>
    <t>DMR202G01H00-01-02314</t>
  </si>
  <si>
    <t>DMR202G01H00-01-02315</t>
  </si>
  <si>
    <t>DMR202G01H00-01-02316</t>
  </si>
  <si>
    <t>DMR202G01H00-01-02317</t>
  </si>
  <si>
    <t>DMR202G01H00-01-02318</t>
  </si>
  <si>
    <t>DMR202G01H00-01-02319</t>
  </si>
  <si>
    <t>DMR202G01H00-01-02320</t>
  </si>
  <si>
    <t>DMR202G01H00-01-02321</t>
  </si>
  <si>
    <t>DMR202G01H00-01-02322</t>
  </si>
  <si>
    <t>DMR202G01H00-01-02323</t>
  </si>
  <si>
    <t>DMR202G01H00-01-02324</t>
  </si>
  <si>
    <t>DMR202G01H00-01-02325</t>
  </si>
  <si>
    <t>DMR202G01H00-01-02326</t>
  </si>
  <si>
    <t>DMR202G01H00-01-02327</t>
  </si>
  <si>
    <t>DMR202G01H00-01-02328</t>
  </si>
  <si>
    <t>DMR202G01H00-01-02329</t>
  </si>
  <si>
    <t>DMR202G01H00-01-02330</t>
  </si>
  <si>
    <t>DMR202G01H00-01-02331</t>
  </si>
  <si>
    <t>DMR202G01H00-01-02332</t>
  </si>
  <si>
    <t>DMR202G01H00-01-02333</t>
  </si>
  <si>
    <t>DMR202G01H00-01-02334</t>
  </si>
  <si>
    <t>DMR202G01H00-01-02335</t>
  </si>
  <si>
    <t>DMR202G01H00-01-02336</t>
  </si>
  <si>
    <t>Silla Secretaria;, mod. Trans, sist. Contacto permanente, importada.</t>
  </si>
  <si>
    <t>DMR202G01H00-01-02285</t>
  </si>
  <si>
    <t>DMR202G01H00-01-02286</t>
  </si>
  <si>
    <t>Santo Domingo Este descargado 2022</t>
  </si>
  <si>
    <t>Ck. 730</t>
  </si>
  <si>
    <t>DMR202G01H00-01-04130</t>
  </si>
  <si>
    <t>Archivo Modular de 3 Gavetas Metalicos</t>
  </si>
  <si>
    <t>RED DOM. DE PERSONAS VIVIENDO CON VIH / REDOVIH</t>
  </si>
  <si>
    <t>AMERICAN BUSINNES MACHINE</t>
  </si>
  <si>
    <t>DMR202G01H00-01-04131</t>
  </si>
  <si>
    <t>Ck. 802</t>
  </si>
  <si>
    <t>DMR202G01H00-02-00908</t>
  </si>
  <si>
    <t>Proyector Multimedia Epson S4</t>
  </si>
  <si>
    <t>J3VG684825F</t>
  </si>
  <si>
    <t>Ck 4962</t>
  </si>
  <si>
    <t>DMR202G01H00-01-01560</t>
  </si>
  <si>
    <t xml:space="preserve">Mesa de Centro Mod. MC-501  </t>
  </si>
  <si>
    <t>Recepción</t>
  </si>
  <si>
    <t>DMR202G01H00-01-01561</t>
  </si>
  <si>
    <t xml:space="preserve">Sofa Mod. Karina de 1 Plaza en Tela   </t>
  </si>
  <si>
    <t>DMR202G01H00-01-01562</t>
  </si>
  <si>
    <t>Ck 5104</t>
  </si>
  <si>
    <t>DMR202G01H00-05-01228</t>
  </si>
  <si>
    <t>Balanza de piso mecanica</t>
  </si>
  <si>
    <t>Electromedica, S. A.</t>
  </si>
  <si>
    <t>DMR202G01H00-05-01237</t>
  </si>
  <si>
    <t>Higuey</t>
  </si>
  <si>
    <t>HOSP. NTRA. SRA. ALTAGRACIA / HIGUEY</t>
  </si>
  <si>
    <t>DMR202G01H00-05-01223</t>
  </si>
  <si>
    <t>CENTRO SANITARIO DE SANTO DOMINGO</t>
  </si>
  <si>
    <t>DMR202G01H00-05-01233</t>
  </si>
  <si>
    <t>Valverde Mao</t>
  </si>
  <si>
    <t>HOSP. LUIS BOGAERT / VALVERDE MAO</t>
  </si>
  <si>
    <t>Ck 7661</t>
  </si>
  <si>
    <t>DMR202G01H00-05-01326</t>
  </si>
  <si>
    <t>HOSP. ROBERT REID CABRAL</t>
  </si>
  <si>
    <t>DMR202G01H00-05-01327</t>
  </si>
  <si>
    <t>DMR202G01H00-05-01328</t>
  </si>
  <si>
    <t>Ck 7687</t>
  </si>
  <si>
    <t>DMR202G01H00-05-01354</t>
  </si>
  <si>
    <t xml:space="preserve">Vitrina de Medicamentos Metálica de 2 Cuerpos  </t>
  </si>
  <si>
    <t>DMR202G01H00-01-03147</t>
  </si>
  <si>
    <t>Archivo de 3 Gavetas</t>
  </si>
  <si>
    <t>DMR202G01H00-01-03148</t>
  </si>
  <si>
    <t>DMR202G01H00-01-03149</t>
  </si>
  <si>
    <t>DMR202G01H00-01-03150</t>
  </si>
  <si>
    <t>DMR202G01H00-01-03151</t>
  </si>
  <si>
    <t>DMR202G01H00-01-03152</t>
  </si>
  <si>
    <t>DMR202G01H00-01-03153</t>
  </si>
  <si>
    <t>DMR202G01H00-01-03154</t>
  </si>
  <si>
    <t>DMR202G01H00-01-03138</t>
  </si>
  <si>
    <t>Armario Metálico de 2 Puertas con llave</t>
  </si>
  <si>
    <t>DMR202G01H00-01-03131</t>
  </si>
  <si>
    <t>Archivo Metálico de 4 gavetas</t>
  </si>
  <si>
    <t>DMR202G01H00-01-03132</t>
  </si>
  <si>
    <t>DMR202G01H00-01-03133</t>
  </si>
  <si>
    <t>DMR202G01H00-01-03134</t>
  </si>
  <si>
    <t>DMR202G01H00-01-03137</t>
  </si>
  <si>
    <t>DMR202G01H00-01-03161</t>
  </si>
  <si>
    <t>Bandeja para teclado</t>
  </si>
  <si>
    <t>DMR202G01H00-01-03162</t>
  </si>
  <si>
    <t>DMR202G01H00-01-03163</t>
  </si>
  <si>
    <t>DMR202G01H00-01-03164</t>
  </si>
  <si>
    <t>DMR202G01H00-01-03173</t>
  </si>
  <si>
    <t>Escritorio en melamina 28" x 48", color haya</t>
  </si>
  <si>
    <t>DMR202G01H00-01-03174</t>
  </si>
  <si>
    <t>DMR202G01H00-01-03175</t>
  </si>
  <si>
    <t>DMR202G01H00-01-03165</t>
  </si>
  <si>
    <t>Escritorio Tipo L 28" x 48" y mesa lateral 18" x 40", color haya</t>
  </si>
  <si>
    <t>DMR202G01H00-01-03166</t>
  </si>
  <si>
    <t>DMR202G01H00-01-03167</t>
  </si>
  <si>
    <t>DMR202G01H00-01-03168</t>
  </si>
  <si>
    <t>DMR202G01H00-01-03169</t>
  </si>
  <si>
    <t>DMR202G01H00-01-03170</t>
  </si>
  <si>
    <t>DMR202G01H00-01-03171</t>
  </si>
  <si>
    <t>Escritorio Tipo L 28" x 55" y mesa lateral 18" x 40", color haya</t>
  </si>
  <si>
    <t>DMR202G01H00-01-03188</t>
  </si>
  <si>
    <t>Mueble para visitas de 2 personas, tapizado en tela color negro</t>
  </si>
  <si>
    <t>DMR202G01H00-01-03189</t>
  </si>
  <si>
    <t>Mueble para visitas de 3 personas, tapizado en tela color negro</t>
  </si>
  <si>
    <t>DMR202G01H00-01-03239</t>
  </si>
  <si>
    <t xml:space="preserve">Nevera Ejecutiva (TA-04Y04EX) General Electric  </t>
  </si>
  <si>
    <t>DMR202G01H00-01-03182</t>
  </si>
  <si>
    <t>Silla de visita</t>
  </si>
  <si>
    <t>Santo Domingo, D.N. Descargado/2022</t>
  </si>
  <si>
    <t>DMR202G01H00-01-03183</t>
  </si>
  <si>
    <t>Santo Domingo, D.N. Descargado/2023</t>
  </si>
  <si>
    <t>DMR202G01H00-01-03184</t>
  </si>
  <si>
    <t>Santo Domingo, D.N. Descargado/2024</t>
  </si>
  <si>
    <t>DMR202G01H00-01-03185</t>
  </si>
  <si>
    <t>Santo Domingo, D.N. Descargado/2025</t>
  </si>
  <si>
    <t>DMR202G01H00-01-03186</t>
  </si>
  <si>
    <t>Santo Domingo, D.N. Descargado/2026</t>
  </si>
  <si>
    <t>DMR202G01H00-01-03218</t>
  </si>
  <si>
    <t>Sillones Semi Ejecutivos, tapizado en tela color negro</t>
  </si>
  <si>
    <t>DMR202G01H00-01-03219</t>
  </si>
  <si>
    <t>DMR202G01H00-01-03220</t>
  </si>
  <si>
    <t>DMR202G01H00-01-03221</t>
  </si>
  <si>
    <t>DMR202G01H00-01-03222</t>
  </si>
  <si>
    <t>Ck. 1532 / 1534</t>
  </si>
  <si>
    <t>DMR202G01H00-01-04142</t>
  </si>
  <si>
    <t>Armario Metalico 18 x 36 x 72</t>
  </si>
  <si>
    <t>DMR202G01H00-01-04143</t>
  </si>
  <si>
    <t>DMR202G01H00-01-04144</t>
  </si>
  <si>
    <t>Archivo Modular de 3 Gavetas Tipo Lapiz</t>
  </si>
  <si>
    <t>DMR202G01H00-01-04139</t>
  </si>
  <si>
    <t>Escritorio en Melanina Tipo L</t>
  </si>
  <si>
    <t>DMR202G01H00-01-04140</t>
  </si>
  <si>
    <t xml:space="preserve">Escritorio en Melanina Tipo L </t>
  </si>
  <si>
    <t>Ck 8537</t>
  </si>
  <si>
    <t>DMR202G01H00-05-01340</t>
  </si>
  <si>
    <t>Camilla</t>
  </si>
  <si>
    <t>Ck. 230</t>
  </si>
  <si>
    <t>DMR202G01H00-01-04028</t>
  </si>
  <si>
    <t>Nevera NEDOCA 16" Cúbico</t>
  </si>
  <si>
    <t>NF40PW1GTA</t>
  </si>
  <si>
    <t>La Romana</t>
  </si>
  <si>
    <t>ALMACENES IBERIAS</t>
  </si>
  <si>
    <t>DMR202G01H00-01-04029</t>
  </si>
  <si>
    <t>Ck 8790</t>
  </si>
  <si>
    <t>Archivo Metalico de 4 Gavetas</t>
  </si>
  <si>
    <t>Montecristi</t>
  </si>
  <si>
    <t>HOSP. MUN. CASTAÑUELA / MONTECRISTI</t>
  </si>
  <si>
    <t>Muñoz Comcepto Mobiliario, S. A</t>
  </si>
  <si>
    <t xml:space="preserve">Archivo Modular de 3 Gavetas    </t>
  </si>
  <si>
    <t>DMR202G01H00-01-03541</t>
  </si>
  <si>
    <t>Escritorio en Melamina 28" x 48"</t>
  </si>
  <si>
    <t>DMR202G01H00-01-03543</t>
  </si>
  <si>
    <t>Mesa Redonda en Melamina 28" x 48"</t>
  </si>
  <si>
    <t>Ck. 8802</t>
  </si>
  <si>
    <t>DMR202G01H00-01-03766</t>
  </si>
  <si>
    <t>Santiago de los Caballeros</t>
  </si>
  <si>
    <t>HOSP. INFANTIL ARTURO GRULLON / SANTIAGO</t>
  </si>
  <si>
    <t>ADQ. DIRECTAMENTE POR CONTRATISTA</t>
  </si>
  <si>
    <t>DMR202G01H00-01-03768</t>
  </si>
  <si>
    <t>DMR202G01H00-01-03756</t>
  </si>
  <si>
    <t xml:space="preserve">Archivo Vertical de 4 Gavetas    </t>
  </si>
  <si>
    <t>DMR202G01H00-01-03757</t>
  </si>
  <si>
    <t>DMR202G01H00-02-00755</t>
  </si>
  <si>
    <t>Computador Tipo CLON, Incluye: UPS Mark de 500W</t>
  </si>
  <si>
    <t>DMR202G01H00-01-03728</t>
  </si>
  <si>
    <t xml:space="preserve">Escritorio en Melamina 28 x 55    </t>
  </si>
  <si>
    <t>DMR202G01H00-01-03729</t>
  </si>
  <si>
    <t>DMR202G01H00-01-03730</t>
  </si>
  <si>
    <t>DMR202G01H00-01-03761</t>
  </si>
  <si>
    <t xml:space="preserve">Librero Tipo Credenza con Puertas Bajas     </t>
  </si>
  <si>
    <t>DMR202G01H00-01-03762</t>
  </si>
  <si>
    <t>DMR202G01H00-01-03763</t>
  </si>
  <si>
    <t xml:space="preserve">Mesa Redonda en Melanina y Base Metalica   </t>
  </si>
  <si>
    <t>DMR202G01H00-01-03765</t>
  </si>
  <si>
    <t>DMR202G01H00-01-03731</t>
  </si>
  <si>
    <t xml:space="preserve">Silla para Visita en Tela y Color Negra       </t>
  </si>
  <si>
    <t>DMR202G01H00-01-03732</t>
  </si>
  <si>
    <t>DMR202G01H00-01-03753</t>
  </si>
  <si>
    <t xml:space="preserve">Sillon Semi-Ejecutivo    </t>
  </si>
  <si>
    <t>DMR202G01H00-01-03754</t>
  </si>
  <si>
    <t>DMR202G01H00-05-01465</t>
  </si>
  <si>
    <t xml:space="preserve">Balanza de Adultos con Tallimetro     </t>
  </si>
  <si>
    <t>DMR202G01H00-05-01466</t>
  </si>
  <si>
    <t>DMR202G01H00-01-03748</t>
  </si>
  <si>
    <t xml:space="preserve">Banqueta de 4 Personas   </t>
  </si>
  <si>
    <t xml:space="preserve">Banqueta de 5 Personas     </t>
  </si>
  <si>
    <t>DMR202G01H00-01-03746</t>
  </si>
  <si>
    <t>DMR202G01H00-01-03747</t>
  </si>
  <si>
    <t xml:space="preserve">Camilla de Examen de 3 Posiciones   </t>
  </si>
  <si>
    <t>DMR202G01H00-05-01463</t>
  </si>
  <si>
    <t>DMR202G01H00-05-01464</t>
  </si>
  <si>
    <t>DMR202G01H00-01-03752</t>
  </si>
  <si>
    <t xml:space="preserve">Counter de Recepcion en Melamina    </t>
  </si>
  <si>
    <t xml:space="preserve">Mesa Auxiliar      </t>
  </si>
  <si>
    <t>DMR202G01H00-05-01487</t>
  </si>
  <si>
    <t>DMR202G01H00-05-01480</t>
  </si>
  <si>
    <t xml:space="preserve">Set de Diagnostico Portatil      </t>
  </si>
  <si>
    <t>DMR202G01H00-05-01483</t>
  </si>
  <si>
    <t xml:space="preserve">Vitrina de Medicamentos de 2 Cuerpo    </t>
  </si>
  <si>
    <t>DMR202G01H00-05-01484</t>
  </si>
  <si>
    <t>Ck. 1768       SUB-BENEF.</t>
  </si>
  <si>
    <t>DMR202G01H00-02-01322</t>
  </si>
  <si>
    <t>UPS Central PowerWare No.9155 De 15WVA/13,5KW</t>
  </si>
  <si>
    <t>BB505FBB04</t>
  </si>
  <si>
    <t>PROGRAMA DE MEDICAMENTOS DE ALTO COSTO</t>
  </si>
  <si>
    <t>MUEBLES DE OFICINA</t>
  </si>
  <si>
    <t>OMEGA TECH, S.A.</t>
  </si>
  <si>
    <t>Ck. 710515</t>
  </si>
  <si>
    <t>DMR202G01H00-01-03970</t>
  </si>
  <si>
    <t>Archivo Modular de 3 Gavetas</t>
  </si>
  <si>
    <t>ALIANZA SOLID. P/L CONTRA EL VIH / ASOLSIDA</t>
  </si>
  <si>
    <t>DMR202G01H00-01-03971</t>
  </si>
  <si>
    <t>DMR202G01H00-01-03972</t>
  </si>
  <si>
    <t>DMR202G01H00-01-03973</t>
  </si>
  <si>
    <t>DMR202G01H00-01-03974</t>
  </si>
  <si>
    <t>DMR202G01H00-01-03975</t>
  </si>
  <si>
    <t>Ck. 1917 y 1979</t>
  </si>
  <si>
    <t>DMR202G01H00-01-04152</t>
  </si>
  <si>
    <t>Archivo Metalico de 4 Gavetas, National</t>
  </si>
  <si>
    <t>DM PAPELERIA, C X A.</t>
  </si>
  <si>
    <t>DMR202G01H00-01-04153</t>
  </si>
  <si>
    <t>DMR202G01H00-01-04154</t>
  </si>
  <si>
    <t>DMR202G01H00-01-04155</t>
  </si>
  <si>
    <t>DMR202G01H00-01-04156</t>
  </si>
  <si>
    <t>Ck. 74</t>
  </si>
  <si>
    <t>DMR202G01H00-01-03976</t>
  </si>
  <si>
    <t>Inversor Platinium de 5 Kilo. Incluye: 8 Baterias BLAZE e Instalacion.</t>
  </si>
  <si>
    <t>ELECTRICA FG</t>
  </si>
  <si>
    <t>Ck. 9902</t>
  </si>
  <si>
    <t>DMR202G01H00-05-01493</t>
  </si>
  <si>
    <t xml:space="preserve">Escabel de 1 Paso / Banquito de Pies      </t>
  </si>
  <si>
    <t>Miches</t>
  </si>
  <si>
    <t>HOSP. GRAL. MUN. DE MICHES</t>
  </si>
  <si>
    <t>PROMEDICA, C X A.</t>
  </si>
  <si>
    <t>DMR202G01H00-05-01497</t>
  </si>
  <si>
    <t xml:space="preserve">Set de Diagnostico de Pared  </t>
  </si>
  <si>
    <t>Ck. 9903</t>
  </si>
  <si>
    <t>DMR202G01H00-01-03905</t>
  </si>
  <si>
    <t xml:space="preserve">Archivo Modular de 3 Gavetas  </t>
  </si>
  <si>
    <t>MEDIEQUIPOS, S.A.</t>
  </si>
  <si>
    <t>DMR202G01H00-05-01498</t>
  </si>
  <si>
    <t>DMR202G01H00-01-03906</t>
  </si>
  <si>
    <t>Escritorio en Melamina 1,40 x 0,70</t>
  </si>
  <si>
    <t>DMR202G01H00-01-03907</t>
  </si>
  <si>
    <t>Mesa Redonda de 4 Personas</t>
  </si>
  <si>
    <t>DMR202G01H00-01-03909</t>
  </si>
  <si>
    <t xml:space="preserve">Silla de Visita en Tela y Color Negra    </t>
  </si>
  <si>
    <t>DMR202G01H00-01-03910</t>
  </si>
  <si>
    <t>DMR202G01H00-01-03911</t>
  </si>
  <si>
    <t>DMR202G01H00-01-03912</t>
  </si>
  <si>
    <t>DMR202G01H00-01-03913</t>
  </si>
  <si>
    <t>DMR202G01H00-01-03914</t>
  </si>
  <si>
    <t>DMR202G01H00-01-03915</t>
  </si>
  <si>
    <t>DMR202G01H00-01-03916</t>
  </si>
  <si>
    <t>DMR202G01H00-01-03917</t>
  </si>
  <si>
    <t>DMR202G01H00-01-03918</t>
  </si>
  <si>
    <t>DMR202G01H00-01-03919</t>
  </si>
  <si>
    <t>DMR202G01H00-01-03920</t>
  </si>
  <si>
    <t>DMR202G01H00-01-03921</t>
  </si>
  <si>
    <t>DMR202G01H00-01-03908</t>
  </si>
  <si>
    <t>Sillón Semi-Ejecutivo en Tela Negra</t>
  </si>
  <si>
    <t>Ck. 9905</t>
  </si>
  <si>
    <t>DMR202G01H00-01-03900</t>
  </si>
  <si>
    <t xml:space="preserve">Archivo Metalico de 4 Gavetas  </t>
  </si>
  <si>
    <t>DMR202G01H00-01-03901</t>
  </si>
  <si>
    <t>HOSPILAB, S.A.</t>
  </si>
  <si>
    <t>DMR202G01H00-01-03930</t>
  </si>
  <si>
    <t xml:space="preserve">Base Aerea para TV de 14 a 24"     </t>
  </si>
  <si>
    <t>DMR202G01H00-05-01492</t>
  </si>
  <si>
    <t xml:space="preserve">Negatoscopio de 1 Cuerpo  </t>
  </si>
  <si>
    <t>Ck. 696</t>
  </si>
  <si>
    <t>DMR202G01H00-01-04676</t>
  </si>
  <si>
    <t>Silla Plástica Rimax Fiesta II, Color  Blanca 2120, Cantidad: 24 UDS.</t>
  </si>
  <si>
    <t>DMR202G01H00-01-04673</t>
  </si>
  <si>
    <t>Armario en Metal de 2 Puertas con Cerradura y 5 Espacio.</t>
  </si>
  <si>
    <t xml:space="preserve">Camilla de Examen de 3 Posiciones  </t>
  </si>
  <si>
    <t>Ck. 758</t>
  </si>
  <si>
    <t>DMR202G01H00-01-04688</t>
  </si>
  <si>
    <t>Mesa Plegadiza de 30 x 72 Lamex</t>
  </si>
  <si>
    <t>AMIGOS SIEMPRE AMIGOS / ASA</t>
  </si>
  <si>
    <t>SUMIOF</t>
  </si>
  <si>
    <t>DMR202G01H00-01-04689</t>
  </si>
  <si>
    <t>BIONUCLEAR</t>
  </si>
  <si>
    <t>Ck. 846</t>
  </si>
  <si>
    <t>DMR202G01H00-02-01036</t>
  </si>
  <si>
    <t>Proyector Epson PowerLite S6</t>
  </si>
  <si>
    <t>H283420</t>
  </si>
  <si>
    <t>Ck. 849</t>
  </si>
  <si>
    <t>DMR202G01H00-01-04692</t>
  </si>
  <si>
    <t>Calculadora Sharp-El 1801P y 4 Tijera 7" Maped en Acero Inoxidable.</t>
  </si>
  <si>
    <t>DMR202G01H00-01-04695</t>
  </si>
  <si>
    <t>Rotafolio Base Madera de 26x34 C/Pizarra y 4 Tabla con Gancho x 11</t>
  </si>
  <si>
    <t xml:space="preserve">Ck. 10308 y </t>
  </si>
  <si>
    <t>DMR202G01H00-01-04251</t>
  </si>
  <si>
    <t>Constanza</t>
  </si>
  <si>
    <t>HOSP. MUN. PEDRO A. CESPEDES / CONSTANZA</t>
  </si>
  <si>
    <t>LEON, G.</t>
  </si>
  <si>
    <t>DMR202G01H00-01-04252</t>
  </si>
  <si>
    <t>DMR202G01H00-01-04257</t>
  </si>
  <si>
    <t>DMR202G01H00-01-04258</t>
  </si>
  <si>
    <t>Ck. 10306</t>
  </si>
  <si>
    <t>DMR202G01H00-05-01554</t>
  </si>
  <si>
    <t>Balanza de Adultos con Tallimetro</t>
  </si>
  <si>
    <t>Monseñor Nouel, Bonao</t>
  </si>
  <si>
    <t>HOSP. PEDRO E. DE MARCHENA / BONAO</t>
  </si>
  <si>
    <t>DMR202G01H00-01-04219</t>
  </si>
  <si>
    <t>DMR202G01H00-01-04220</t>
  </si>
  <si>
    <t>Monitores Financiero 2do nivel (Antes -Monseñor Nouel, Bonao)</t>
  </si>
  <si>
    <t>DMR202G01H00-01-04221</t>
  </si>
  <si>
    <t>DMR202G01H00-01-04222</t>
  </si>
  <si>
    <t>DMR202G01H00-01-04223</t>
  </si>
  <si>
    <t>DMR202G01H00-01-04224</t>
  </si>
  <si>
    <t>DMR202G01H00-01-04225</t>
  </si>
  <si>
    <t>DMR202G01H00-05-01687</t>
  </si>
  <si>
    <t>Boca Chica</t>
  </si>
  <si>
    <t xml:space="preserve">HOSP. LOCAL BOCA CHICA  </t>
  </si>
  <si>
    <t>DMR202G01H00-05-01613</t>
  </si>
  <si>
    <t>Samaná</t>
  </si>
  <si>
    <t>HOSP. LEOPOLDO POU / SAMANA</t>
  </si>
  <si>
    <t>DMR202G01H00-01-04318</t>
  </si>
  <si>
    <t>DMR202G01H00-01-04319</t>
  </si>
  <si>
    <t>DMR202G01H00-01-04320</t>
  </si>
  <si>
    <t>DMR202G01H00-01-04321</t>
  </si>
  <si>
    <t>DMR202G01H00-05-01594</t>
  </si>
  <si>
    <t>San Francisco de Macoris</t>
  </si>
  <si>
    <t>HOSP. SAN VICENTE DE PAUL / SFM</t>
  </si>
  <si>
    <t>DMR202G01H00-05-01595</t>
  </si>
  <si>
    <t>DMR202G01H00-01-04288</t>
  </si>
  <si>
    <t>DMR202G01H00-01-04289</t>
  </si>
  <si>
    <t>DMR202G01H00-01-04292</t>
  </si>
  <si>
    <t>Banqueta de 4 Personas</t>
  </si>
  <si>
    <t>DMR202G01H00-01-04290</t>
  </si>
  <si>
    <t>DMR202G01H00-01-04291</t>
  </si>
  <si>
    <t>DMR202G01H00-01-04293</t>
  </si>
  <si>
    <t>CENTRO MATERNO INFANTIL SAN LORENZO DE LOS MINAS</t>
  </si>
  <si>
    <t>DMR202G01H00-01-04489</t>
  </si>
  <si>
    <t>DMR202G01H00-01-04490</t>
  </si>
  <si>
    <t>DMR202G01H00-01-04499</t>
  </si>
  <si>
    <t>DMR202G01H00-01-04500</t>
  </si>
  <si>
    <t>DMR202G01H00-01-04494</t>
  </si>
  <si>
    <t>DMR202G01H00-01-04495</t>
  </si>
  <si>
    <t>DMR202G01H00-01-04496</t>
  </si>
  <si>
    <t>DMR202G01H00-01-04572</t>
  </si>
  <si>
    <t>DMR202G01H00-05-01697</t>
  </si>
  <si>
    <t>CENTRO ATENCION PRIMARIA / SAN LUIS</t>
  </si>
  <si>
    <t>DMR202G01H00-05-01698</t>
  </si>
  <si>
    <t>Ck. 10582</t>
  </si>
  <si>
    <t>DMR202G01H00-05-01541</t>
  </si>
  <si>
    <t>Vitrina para Medicamentos</t>
  </si>
  <si>
    <t>Puerto Plata</t>
  </si>
  <si>
    <t>CENTRO DE PROMOCION Y SOL. HUMANA / CEPROSH</t>
  </si>
  <si>
    <t>DMR202G01H00-05-01538</t>
  </si>
  <si>
    <t>DMR202G01H00-05-01539</t>
  </si>
  <si>
    <t>DMR202G01H00-05-01532</t>
  </si>
  <si>
    <t>DMR202G01H00-05-01533</t>
  </si>
  <si>
    <t>DMR202G01H00-05-01540</t>
  </si>
  <si>
    <t>Santo Domingo. D.N.</t>
  </si>
  <si>
    <t>INST. DOM. DE ESTUDIO VIROLOGICO</t>
  </si>
  <si>
    <t>Contrato de Adecuación</t>
  </si>
  <si>
    <t xml:space="preserve">Librero Tipo Credenza con Puertas Bajas </t>
  </si>
  <si>
    <t>Silla de Visita en Tela y Color Negra</t>
  </si>
  <si>
    <t>DMR202G01H00-01-04399</t>
  </si>
  <si>
    <t>Abanico de Techo, Marca: KDK</t>
  </si>
  <si>
    <t>Azua, Peralta</t>
  </si>
  <si>
    <t>HOSP. MUN. DE PERALTA / AZUA</t>
  </si>
  <si>
    <t>DMR202G01H00-01-04398</t>
  </si>
  <si>
    <t>DMR202G01H00-01-04401</t>
  </si>
  <si>
    <t>DMR202G01H00-01-04402</t>
  </si>
  <si>
    <t>DMR202G01H00-01-04403</t>
  </si>
  <si>
    <t>DMR202G01H00-01-04404</t>
  </si>
  <si>
    <t>DMR202G01H00-01-04405</t>
  </si>
  <si>
    <t>DMR202G01H00-01-04406</t>
  </si>
  <si>
    <t>DMR202G01H00-01-04407</t>
  </si>
  <si>
    <t>DMR202G01H00-01-04408</t>
  </si>
  <si>
    <t>DMR202G01H00-01-04409</t>
  </si>
  <si>
    <t>DMR202G01H00-01-04410</t>
  </si>
  <si>
    <t>Abanico de Pared, Marca: Daiwa</t>
  </si>
  <si>
    <t>HOSP. MUN. DE NIZAO / BANI</t>
  </si>
  <si>
    <t>DMR202G01H00-01-04378</t>
  </si>
  <si>
    <t>nizao, Bani</t>
  </si>
  <si>
    <t>DMR202G01H00-01-04372</t>
  </si>
  <si>
    <t>DMR202G01H00-01-04373</t>
  </si>
  <si>
    <t>DMR202G01H00-01-04374</t>
  </si>
  <si>
    <t>DMR202G01H00-05-01636</t>
  </si>
  <si>
    <t>DMR202G01H00-01-04387</t>
  </si>
  <si>
    <t>Banqueta de 5 Personas</t>
  </si>
  <si>
    <t>DMR202G01H00-01-04380</t>
  </si>
  <si>
    <t>DMR202G01H00-01-04382</t>
  </si>
  <si>
    <t>DMR202G01H00-01-04383</t>
  </si>
  <si>
    <t>DMR202G01H00-01-04384</t>
  </si>
  <si>
    <t>DMR202G01H00-01-04385</t>
  </si>
  <si>
    <t>DMR202G01H00-01-04386</t>
  </si>
  <si>
    <t>DMR202G01H00-01-04381</t>
  </si>
  <si>
    <t>Sillón Ejecutivo en Tela Azul</t>
  </si>
  <si>
    <t>DMR202G01H00-05-01635</t>
  </si>
  <si>
    <t>Vitrina para Medicamentos de 1 Cuerpo</t>
  </si>
  <si>
    <t>DMR202G01H00-01-04390</t>
  </si>
  <si>
    <t>Aire Acondicionado de 9,000 BTU, Marca: MILLER</t>
  </si>
  <si>
    <t>HOSP. MUN. DE VILLA FUNDACION / BANI</t>
  </si>
  <si>
    <t>DMR202G01H00-01-04388</t>
  </si>
  <si>
    <t>DMR202G01H00-01-04389</t>
  </si>
  <si>
    <t>Bebedero de Botellon American, Mod. BE-55</t>
  </si>
  <si>
    <t>DMR202G01H00-01-04392</t>
  </si>
  <si>
    <t>DMR202G01H00-01-04393</t>
  </si>
  <si>
    <t>DMR202G01H00-01-04394</t>
  </si>
  <si>
    <t>DMR202G01H00-01-04395</t>
  </si>
  <si>
    <t>DMR202G01H00-01-04396</t>
  </si>
  <si>
    <t>Ck. 10687</t>
  </si>
  <si>
    <t>DMR202G01H00-02-00956</t>
  </si>
  <si>
    <t>Computador Dell Vostro 200MT</t>
  </si>
  <si>
    <t>CNFTLJ1 /  CN-0R034G-64180-92R-622M</t>
  </si>
  <si>
    <t>DMR202G01H00-02-00957</t>
  </si>
  <si>
    <t>Impresora HP Laser Jet P1006</t>
  </si>
  <si>
    <t xml:space="preserve">VND3B63041 </t>
  </si>
  <si>
    <t>DMR202G01H00-02-00962</t>
  </si>
  <si>
    <t>C7CGYH1 / CN-0R034G-64180-92R-5DQM</t>
  </si>
  <si>
    <t>DMR202G01H00-02-00963</t>
  </si>
  <si>
    <t>VND3B63148</t>
  </si>
  <si>
    <t>DMR202G01H00-02-00966</t>
  </si>
  <si>
    <t xml:space="preserve">VND3B63147    </t>
  </si>
  <si>
    <t>Ck. 10827</t>
  </si>
  <si>
    <t>UPS CDP 500 VA</t>
  </si>
  <si>
    <t>ROSA NADAR &amp; ASOCIADOS</t>
  </si>
  <si>
    <t>DMR202G01H00-02-00964</t>
  </si>
  <si>
    <t>090106-1290842</t>
  </si>
  <si>
    <t>DMR202G01H00-01-04263</t>
  </si>
  <si>
    <t>DMR202G01H00-01-04255</t>
  </si>
  <si>
    <t>Banqueta de 3 Personas</t>
  </si>
  <si>
    <t>DMR202G01H00-01-04261</t>
  </si>
  <si>
    <t>Librero Tipo Credenza con Puertas Bajas</t>
  </si>
  <si>
    <t>DMR202G01H00-01-04256</t>
  </si>
  <si>
    <t>DMR202G01H00-01-04259</t>
  </si>
  <si>
    <t>DMR202G01H00-01-04260</t>
  </si>
  <si>
    <t>DMR202G01H00-01-04349</t>
  </si>
  <si>
    <t>DMR202G01H00-01-04350</t>
  </si>
  <si>
    <t>Ck. 10305 y 11013</t>
  </si>
  <si>
    <t>DMR202G01H00-05-01575</t>
  </si>
  <si>
    <t xml:space="preserve">Mesa Auxiliar </t>
  </si>
  <si>
    <t>DMR202G01H00-05-01579</t>
  </si>
  <si>
    <t>Negatoscopio de 1 Cuerpo</t>
  </si>
  <si>
    <t>DMR202G01H00-05-01583</t>
  </si>
  <si>
    <t>DMR202G01H00-05-01556</t>
  </si>
  <si>
    <t>DMR202G01H00-05-01562</t>
  </si>
  <si>
    <t>DMR202G01H00-05-01718</t>
  </si>
  <si>
    <t>Villa Altagracia</t>
  </si>
  <si>
    <t>HOSP. MUN. DE VILLA ALTAGRACIA</t>
  </si>
  <si>
    <t>DMR202G01H00-05-01615</t>
  </si>
  <si>
    <t>DMR202G01H00-05-01616</t>
  </si>
  <si>
    <t>DMR202G01H00-05-01617</t>
  </si>
  <si>
    <t>DMR202G01H00-05-01618</t>
  </si>
  <si>
    <t>DMR202G01H00-05-01620</t>
  </si>
  <si>
    <t>DMR202G01H00-05-01621</t>
  </si>
  <si>
    <t>DMR202G01H00-05-01596</t>
  </si>
  <si>
    <t>DMR202G01H00-05-01598</t>
  </si>
  <si>
    <t>DMR202G01H00-05-01600</t>
  </si>
  <si>
    <t>DMR202G01H00-05-01661</t>
  </si>
  <si>
    <t>DMR202G01H00-05-01662</t>
  </si>
  <si>
    <t>DMR202G01H00-05-01699</t>
  </si>
  <si>
    <t>DMR202G01H00-05-01700</t>
  </si>
  <si>
    <t>DMR202G01H00-05-01703</t>
  </si>
  <si>
    <t>Ck. 10304 y 11141</t>
  </si>
  <si>
    <t>DMR202G01H00-05-01582</t>
  </si>
  <si>
    <t>Escabel de 1 Paso</t>
  </si>
  <si>
    <t>DMR202G01H00-05-01557</t>
  </si>
  <si>
    <t>DMR202G01H00-05-01558</t>
  </si>
  <si>
    <t>Ck. 10309 y 11143</t>
  </si>
  <si>
    <t>DMR202G01H00-01-04233</t>
  </si>
  <si>
    <t>LIMCOBA</t>
  </si>
  <si>
    <t>DMR202G01H00-01-04230</t>
  </si>
  <si>
    <t>DMR202G01H00-01-04234</t>
  </si>
  <si>
    <t>Escritorio en Melamina 1,20 x 0,70</t>
  </si>
  <si>
    <t>DMR202G01H00-01-04235</t>
  </si>
  <si>
    <t>DMR202G01H00-05-01716</t>
  </si>
  <si>
    <t>DMR202G01H00-05-01719</t>
  </si>
  <si>
    <t>DMR202G01H00-01-04641</t>
  </si>
  <si>
    <t>DMR202G01H00-01-04451</t>
  </si>
  <si>
    <t>DMR202G01H00-05-01625</t>
  </si>
  <si>
    <t>DMR202G01H00-01-04336</t>
  </si>
  <si>
    <t>Nevera Ejecutiva de 5 Pies American, Mod. 130-N</t>
  </si>
  <si>
    <t>DMR202G01H00-05-01603</t>
  </si>
  <si>
    <t>DMR202G01H00-05-01604</t>
  </si>
  <si>
    <t>DMR202G01H00-01-04306</t>
  </si>
  <si>
    <t>DMR202G01H00-01-04307</t>
  </si>
  <si>
    <t>DMR202G01H00-01-04309</t>
  </si>
  <si>
    <t>DMR202G01H00-01-04310</t>
  </si>
  <si>
    <t>DMR202G01H00-01-04311</t>
  </si>
  <si>
    <t>DMR202G01H00-01-04308</t>
  </si>
  <si>
    <t>DMR202G01H00-01-04304</t>
  </si>
  <si>
    <t>DMR202G01H00-01-04312</t>
  </si>
  <si>
    <t>DMR202G01H00-05-01665</t>
  </si>
  <si>
    <t>DMR202G01H00-05-01666</t>
  </si>
  <si>
    <t>DMR202G01H00-05-01670</t>
  </si>
  <si>
    <t>DMR202G01H00-05-01671</t>
  </si>
  <si>
    <t>DMR202G01H00-01-04525</t>
  </si>
  <si>
    <t>DMR202G01H00-01-04526</t>
  </si>
  <si>
    <t>DMR202G01H00-01-04507</t>
  </si>
  <si>
    <t>Counter de Recepcion</t>
  </si>
  <si>
    <t>DMR202G01H00-01-04508</t>
  </si>
  <si>
    <t>DMR202G01H00-01-04509</t>
  </si>
  <si>
    <t>DMR202G01H00-01-04511</t>
  </si>
  <si>
    <t>DMR202G01H00-01-04512</t>
  </si>
  <si>
    <t>DMR202G01H00-01-04564</t>
  </si>
  <si>
    <t>DMR202G01H00-01-04563</t>
  </si>
  <si>
    <t>DMR202G01H00-05-01706</t>
  </si>
  <si>
    <t>DMR202G01H00-05-01707</t>
  </si>
  <si>
    <t>Ck. 10307 y 11456</t>
  </si>
  <si>
    <t xml:space="preserve">Base Aerea para TV y DVD de 21-29"     </t>
  </si>
  <si>
    <t>ACTUALIDADES VD, S.A.</t>
  </si>
  <si>
    <t>DMR202G01H00-01-04287</t>
  </si>
  <si>
    <t>Ck. 00025          SUB-BENEF.</t>
  </si>
  <si>
    <t>DMR202G01H00-02-01015</t>
  </si>
  <si>
    <t>Proyector Multimedia Dell 1210s</t>
  </si>
  <si>
    <t>2JW7NG1</t>
  </si>
  <si>
    <t>MINISTERIO DE TRABAJO / UTELAIN</t>
  </si>
  <si>
    <t>ASTI CONSULTING, SRL / THE PC STORE</t>
  </si>
  <si>
    <t>Ck. 00373</t>
  </si>
  <si>
    <t>DMR202G01H00-01-04696</t>
  </si>
  <si>
    <t>Inversor Trace -Xantrex TR 3.6 Kilo de 24 TR3624. Incluye: 8 Baterias Trace de 6.0V T-115 225mp. e Instalacion.</t>
  </si>
  <si>
    <t>TRACE INTERNACIONAL, C. X. A.</t>
  </si>
  <si>
    <t>DMR202G01H00-01-04697</t>
  </si>
  <si>
    <t>Ck. 2268</t>
  </si>
  <si>
    <t>DMR202G01H00-02-01086</t>
  </si>
  <si>
    <t>Pantalla de Proyeccion Versatil 60 x 60 con Tripode</t>
  </si>
  <si>
    <t>COMPUDOMSA</t>
  </si>
  <si>
    <t>DMR202G01H00-02-01087</t>
  </si>
  <si>
    <t>Proyector Multimedia Epson S8  2500 LUMENES</t>
  </si>
  <si>
    <t>M4SF9Z2825L</t>
  </si>
  <si>
    <t>Ck. 12248</t>
  </si>
  <si>
    <t>DMR202G01H00-02-01140</t>
  </si>
  <si>
    <t>APC Power Modulo 200/208V                      LX-4KVA P/UPS. Incluye: 20 Bateria de 12Voltio e Instalación.</t>
  </si>
  <si>
    <t>QD1035360496</t>
  </si>
  <si>
    <t xml:space="preserve">Unidad de Tecnología   </t>
  </si>
  <si>
    <t>THE POWER PLACE DOMINICANA</t>
  </si>
  <si>
    <t>Ck. 12301</t>
  </si>
  <si>
    <t>DMR202G01H00-01-04840</t>
  </si>
  <si>
    <t>Armario Metalico 18 x 36 x 72. Incluye:  2 Puertas y Color Crema</t>
  </si>
  <si>
    <t>ACTUALIDADES VD</t>
  </si>
  <si>
    <t>DMR202G01H00-01-04841</t>
  </si>
  <si>
    <t>Ck. 320         SUB-BENEF.</t>
  </si>
  <si>
    <t>DMR202G01H00-04-00075</t>
  </si>
  <si>
    <t>Monitor Activo Tipo Bafle con USB 250 WRM</t>
  </si>
  <si>
    <t>PS-15A</t>
  </si>
  <si>
    <t>HOGAR CREA DOMINICANO, INC.</t>
  </si>
  <si>
    <t>MUSICAL COMPAÑÍA, S.A.</t>
  </si>
  <si>
    <t>DMR202G01H00-04-00076</t>
  </si>
  <si>
    <t>DMR202G01H00-04-00077</t>
  </si>
  <si>
    <t>Stand de Bocina</t>
  </si>
  <si>
    <t>LK314-1</t>
  </si>
  <si>
    <t>DMR202G01H00-04-00078</t>
  </si>
  <si>
    <t>Ck. 322         SUB-BENEF.</t>
  </si>
  <si>
    <t>DMR202G01H00-02-01082</t>
  </si>
  <si>
    <t>Pantalla de Proyeccion 86" Puls Klips Extreme</t>
  </si>
  <si>
    <t>KPS-302</t>
  </si>
  <si>
    <t>AR COMPUTADORAS Y SUMINISTROS, S.A.</t>
  </si>
  <si>
    <t>DMR202G01H00-02-01081</t>
  </si>
  <si>
    <t>Proyector Multimedia Sanyo PLV-Z60</t>
  </si>
  <si>
    <t>G8Y04123 MC4-Z6000</t>
  </si>
  <si>
    <t>Ck. 12354</t>
  </si>
  <si>
    <t>DMR202G01H00-01-04842</t>
  </si>
  <si>
    <t>Archivo Tipo Armario con Caja de Seguridad y Cerradura de Combinacion Metal 4 Gaveta, 1 Puerta, Dim. 42"x18"</t>
  </si>
  <si>
    <t>Direccion Ejecutiva</t>
  </si>
  <si>
    <t>Ck. 12477</t>
  </si>
  <si>
    <t>DMR202G01H00-02-01074</t>
  </si>
  <si>
    <t>Computador HP Compaq 6000 PRO SFF Incluye: Monitores HP Compaq LE1711-LCD de 17".</t>
  </si>
  <si>
    <t>CPU: MXL0191LR6 / PANTALLA: CNN40628NR</t>
  </si>
  <si>
    <t>SINERGIT</t>
  </si>
  <si>
    <t>Transf. 102</t>
  </si>
  <si>
    <t>DMR202G01H00-03-00034</t>
  </si>
  <si>
    <t>Camioneta Nissan Frontier 4WD, Doble Cabina, Color Gris. 2010.</t>
  </si>
  <si>
    <t>Chassis: JN1CJUD22Z0110543</t>
  </si>
  <si>
    <t>SANTO DOMINGO MOTORS COMPANY, S.A.</t>
  </si>
  <si>
    <t>Ck. 12687</t>
  </si>
  <si>
    <t>DMR202G01H00-05-01722</t>
  </si>
  <si>
    <t>Centrifuga Refrigerada Thermo Fisher Scientific, Mod. Sorvall ST40R</t>
  </si>
  <si>
    <t>LAB. NACIONAL DR. DEFILLO</t>
  </si>
  <si>
    <t>BIO-NUCLEAR</t>
  </si>
  <si>
    <t>Ck. 12753</t>
  </si>
  <si>
    <t>DMR202G01H00-01-04845</t>
  </si>
  <si>
    <t>Armario Metalico 18 x 36 x 72. Incluye:  2 Puertas y Color Gris</t>
  </si>
  <si>
    <t>Gerencia Técnica</t>
  </si>
  <si>
    <t>DMR202G01H00-01-04846</t>
  </si>
  <si>
    <t>Ck. 219        SUB-BENEF.</t>
  </si>
  <si>
    <t>DMR202G01H00-01-04855</t>
  </si>
  <si>
    <t>Aire Acondicionado TGM de 24,000 BTU. E Instalación.</t>
  </si>
  <si>
    <t xml:space="preserve"> Mod. MWZT-245</t>
  </si>
  <si>
    <t>S &amp; R SERVICENTRO, C. POR A.</t>
  </si>
  <si>
    <t>DMR202G01H00-01-04856</t>
  </si>
  <si>
    <t>DMR202G01H00-01-04857</t>
  </si>
  <si>
    <t>DMR202G01H00-01-04858</t>
  </si>
  <si>
    <t>DMR202G01H00-01-04854</t>
  </si>
  <si>
    <t>Freezer General Electric de 17" Pies, Vertical y Color Blanca de Una Puertas.</t>
  </si>
  <si>
    <t>DMR202G01H00-02-01102</t>
  </si>
  <si>
    <t>Impresora HP LáserJet P110ZW</t>
  </si>
  <si>
    <t>VNB3502607</t>
  </si>
  <si>
    <t>DMR202G01H00-01-04852</t>
  </si>
  <si>
    <t>Nevera Mabe de 17" Pies, Color Blanca de Dos Puertas, Mod. RM88B04</t>
  </si>
  <si>
    <t>1003A301516</t>
  </si>
  <si>
    <t>DMR202G01H00-01-04853</t>
  </si>
  <si>
    <t>1003A312844</t>
  </si>
  <si>
    <t>Ck. 13168</t>
  </si>
  <si>
    <t>DMR202G01H00-01-04849</t>
  </si>
  <si>
    <t>Coordinación Financiera</t>
  </si>
  <si>
    <t>DMR202G01H00-01-04850</t>
  </si>
  <si>
    <t>Ck. 13563</t>
  </si>
  <si>
    <t>DMR202G01H00-02-01127</t>
  </si>
  <si>
    <t>Computador Dell Optiplex 780 y Monitor  Dell E Series E1910H 18.5 Pulgada</t>
  </si>
  <si>
    <t>GG31JM1 / CN-0Y4413-72201-51R-3D7Y</t>
  </si>
  <si>
    <t>FL BETANCES Y ASOCIADOS</t>
  </si>
  <si>
    <t>DMR202G01H00-02-01128</t>
  </si>
  <si>
    <t>DG31JM1</t>
  </si>
  <si>
    <t>DMR202G01H00-02-01125</t>
  </si>
  <si>
    <t>CPU: 9G31JM1 / MONITOR: CN-00H3PD-7287207M-1MRS</t>
  </si>
  <si>
    <t>Ck. 14942</t>
  </si>
  <si>
    <t>Laptop HP Pro Book 6550b. Incluye: Docking Station y Bulto</t>
  </si>
  <si>
    <t>UNITEC DOMINICANA</t>
  </si>
  <si>
    <t>DMR202G01H00-02-01135</t>
  </si>
  <si>
    <t>CNU0383BV2</t>
  </si>
  <si>
    <t>Santo Domingo Oeste</t>
  </si>
  <si>
    <t>EL MESON DE DIOS, INC.</t>
  </si>
  <si>
    <t>Ck. 79      SUB-BENEF.</t>
  </si>
  <si>
    <t>DMR202G01H00-01-04906</t>
  </si>
  <si>
    <t>Cámara de Video Digital Sony,               Mod. HDR-XR160 / 3.3 MP, 160GB.</t>
  </si>
  <si>
    <t>1124703</t>
  </si>
  <si>
    <t>P.C. RICHARD &amp; SON</t>
  </si>
  <si>
    <t>Ck. 84      SUB-BENEF.</t>
  </si>
  <si>
    <t>DMR202G01H00-01-04909</t>
  </si>
  <si>
    <t>Archivo Vertical de 5 Gavetas Mercury  Color Crema</t>
  </si>
  <si>
    <t>OMAR MUEBLES</t>
  </si>
  <si>
    <t>Ck. 85      SUB-BENEF.</t>
  </si>
  <si>
    <t>DMR202G01H00-01-04910</t>
  </si>
  <si>
    <t>Ck. 88      SUB-BENEF.</t>
  </si>
  <si>
    <t>DMR202G01H00-01-04915</t>
  </si>
  <si>
    <t>Sillón Técnico, Color Negro</t>
  </si>
  <si>
    <t>Mod. 11060</t>
  </si>
  <si>
    <t>Ck. 89      SUB-BENEF.</t>
  </si>
  <si>
    <t>DMR202G01H00-01-04916</t>
  </si>
  <si>
    <t>Bebedero de Botellon Keeprite, con Neverita, Color Blanco</t>
  </si>
  <si>
    <t>11190045</t>
  </si>
  <si>
    <t>METALGAS, S.R.L.</t>
  </si>
  <si>
    <t>Ck. 120      SUB-BENEF.</t>
  </si>
  <si>
    <t>DMR202G01H00-01-04925</t>
  </si>
  <si>
    <t>Abanico de Techo KDK, Color Blanco</t>
  </si>
  <si>
    <t>LA INNOVACION,         C. X A.</t>
  </si>
  <si>
    <t>DMR202G01H00-01-04926</t>
  </si>
  <si>
    <t>Ck. 15404</t>
  </si>
  <si>
    <t>DMR202G01H00-04-00084</t>
  </si>
  <si>
    <t>Dispositivo Fijo de Comunicación, GPS SYRUS P/Tracking Vehicular.</t>
  </si>
  <si>
    <t>356612021112703</t>
  </si>
  <si>
    <t>INFORMATICA ACTUALIZADA, S.A.</t>
  </si>
  <si>
    <t>DMR202G01H00-04-00085</t>
  </si>
  <si>
    <t>356612021040839</t>
  </si>
  <si>
    <t>DMR202G01H00-04-00086</t>
  </si>
  <si>
    <t>356612021086931</t>
  </si>
  <si>
    <t>DMR202G01H00-04-00087</t>
  </si>
  <si>
    <t>356612021090347</t>
  </si>
  <si>
    <t>DMR202G01H00-04-00088</t>
  </si>
  <si>
    <t>356612021089323</t>
  </si>
  <si>
    <t>DMR202G01H00-04-00089</t>
  </si>
  <si>
    <t>356612021153538</t>
  </si>
  <si>
    <t>Gestión Humana                   Angie Muñoz+B747:C7+C74548</t>
  </si>
  <si>
    <t>UPS APC Symmetra LX 8KVA</t>
  </si>
  <si>
    <t>Ck. 00000      Ck. 13402       Ck. 12849</t>
  </si>
  <si>
    <t>DMR202G01H00-05-01730</t>
  </si>
  <si>
    <t>20E05-001                               Mod. Merck-Hitachi</t>
  </si>
  <si>
    <t>AMCO INSTRUMENTS, S.A.</t>
  </si>
  <si>
    <t>Ck. 16006</t>
  </si>
  <si>
    <t>DMR202G01H00-02-01164</t>
  </si>
  <si>
    <t>Scanner HP ScanJet 5590</t>
  </si>
  <si>
    <t>CN161VH16G</t>
  </si>
  <si>
    <t>Gestión Humana                   Angie Muñoz</t>
  </si>
  <si>
    <t>Ck. 2546</t>
  </si>
  <si>
    <t>DMR202G01H00-01-04979</t>
  </si>
  <si>
    <t>Nevera Samsung de 18 Pies Cúbico. Color Blanca</t>
  </si>
  <si>
    <t xml:space="preserve">JJ8W-RBA50031  </t>
  </si>
  <si>
    <t>LABORATORIO CLINICO Centro Diagnóstico y Atención Primaria "Porvenir" SPM</t>
  </si>
  <si>
    <t>DISTRIBUIDORA CORRIPIO</t>
  </si>
  <si>
    <t>Ck. 17304</t>
  </si>
  <si>
    <t>DMR202G01H00-01-04992</t>
  </si>
  <si>
    <t>Aire Acondicionado Tipo Split de 12,000 BTU, Marca: PLUSCOOL/GALANZ</t>
  </si>
  <si>
    <t>104548010920</t>
  </si>
  <si>
    <t>Planificación y Desarrollo</t>
  </si>
  <si>
    <t>AUTOREFRICENTRO M &amp; B</t>
  </si>
  <si>
    <t>Ck. 17371</t>
  </si>
  <si>
    <t>DMR202G01H00-01-05026</t>
  </si>
  <si>
    <t>Armario Metálico de Dos (2) Puerta, Color Crema</t>
  </si>
  <si>
    <t>Mod. Velmer</t>
  </si>
  <si>
    <t>OFIDOSA, S.A.</t>
  </si>
  <si>
    <t>DMR202G01H00-01-05027</t>
  </si>
  <si>
    <t>DMR202G01H00-01-05028</t>
  </si>
  <si>
    <t>DMR202G01H00-01-05029</t>
  </si>
  <si>
    <t>DMR202G01H00-01-05030</t>
  </si>
  <si>
    <t>Ck. 17370</t>
  </si>
  <si>
    <t>DMR202G01H00-01-05001</t>
  </si>
  <si>
    <t>Sillón Semi-Ejecutivo en Tela Negra, con Brazos Fijos, Sistema Giratorio e Hidráulico</t>
  </si>
  <si>
    <t>Mod. SG216-H</t>
  </si>
  <si>
    <t>ACTUALIDADES V.D., S.A.</t>
  </si>
  <si>
    <t>DMR202G01H00-01-05002</t>
  </si>
  <si>
    <t>DMR202G01H00-02-01242</t>
  </si>
  <si>
    <t>DMR202G01H00-02-01244</t>
  </si>
  <si>
    <t>Computador Dell Optiplex 390 Small Form Factor. Incluye: Monitor Dell, Mouse y Teclado.</t>
  </si>
  <si>
    <t>5K6KPS1 / CN-00H3PD-72872-07M-1MHS</t>
  </si>
  <si>
    <t>Coordinación Financiera            Benancio Cuevas</t>
  </si>
  <si>
    <t>FL BETANCES Y ASOCIADOS, S.A.</t>
  </si>
  <si>
    <t>DMR202G01H00-02-01243</t>
  </si>
  <si>
    <t xml:space="preserve">   5K6RPS1 / CN-0N01VP-64180-23H-1LJS</t>
  </si>
  <si>
    <t>Gerencia Técnica      Kenia Mejía</t>
  </si>
  <si>
    <t>Ck. 17563</t>
  </si>
  <si>
    <t>DMR202G01H00-02-01237</t>
  </si>
  <si>
    <t>5K5TPS1 / CN-00H3PD-72872-07M-1MHS</t>
  </si>
  <si>
    <t>DMR202G01H00-02-01238</t>
  </si>
  <si>
    <t xml:space="preserve">5K6PPS1 / CN-0N01VP-64180-23H-YMCS </t>
  </si>
  <si>
    <t>DMR202G01H00-02-01239</t>
  </si>
  <si>
    <t>5K6QPS1 / CN-0N01VP-64180-23H-ILSS</t>
  </si>
  <si>
    <t>DMR202G01H00-02-01240</t>
  </si>
  <si>
    <t>5K5SPS1 / CN-0PT9401-71618-59F-A255</t>
  </si>
  <si>
    <t>DMR202G01H00-02-01245</t>
  </si>
  <si>
    <t>5K6LPS1 / CN-0N01VP-64180-23A-OUNS</t>
  </si>
  <si>
    <t>DMR202G01H00-02-01236</t>
  </si>
  <si>
    <t>5K6TPS1 / CN-0N01VP-64180-23A-0UPS</t>
  </si>
  <si>
    <t>Ck. 17597</t>
  </si>
  <si>
    <t>DMR202G01H00-04-00102</t>
  </si>
  <si>
    <t>Jeep Toyota RAV4 Crema</t>
  </si>
  <si>
    <t xml:space="preserve">Unidad de Transportación </t>
  </si>
  <si>
    <t>DMR202G01H00-04-00103</t>
  </si>
  <si>
    <t>Jeep Toyota RAV4 Azul</t>
  </si>
  <si>
    <t>DMR202G01H00-04-00104</t>
  </si>
  <si>
    <t>Jeep Nissan Azul</t>
  </si>
  <si>
    <t>DMR202G01H00-04-00105</t>
  </si>
  <si>
    <t>Kia Azul</t>
  </si>
  <si>
    <t>Ck. 18084</t>
  </si>
  <si>
    <t>DMR202G01H00-01-05059</t>
  </si>
  <si>
    <t>Banco para Jardin en Hierro y Madera</t>
  </si>
  <si>
    <t>FERRETERIA AMERICANA</t>
  </si>
  <si>
    <t>Ck. 719       SUB_BENEF.</t>
  </si>
  <si>
    <t>DMR202G01H00-01-05067</t>
  </si>
  <si>
    <t>Nevera MABE de Dos Puerta 18" Pies</t>
  </si>
  <si>
    <t>RF12VW1SIA</t>
  </si>
  <si>
    <t>KGM COMERCIAL</t>
  </si>
  <si>
    <t>Ck. 19472</t>
  </si>
  <si>
    <t>DMR202G01H00-01-05068</t>
  </si>
  <si>
    <t>Anaqueles Metálicos de 6 Bandejas Gris. Cantidad: 20 Unidades</t>
  </si>
  <si>
    <t>OFISERVICIOS DOMINICANO, S.A.</t>
  </si>
  <si>
    <t>DMR202G01H00-01-05069</t>
  </si>
  <si>
    <t>Armário Metálico de 2 Puertas, Steelfile</t>
  </si>
  <si>
    <t>DMR202G01H00-01-05070</t>
  </si>
  <si>
    <t>DMR202G01H00-01-05073</t>
  </si>
  <si>
    <t>Escritorio en Melamina y Base de Metal 28x48</t>
  </si>
  <si>
    <t>DMR202G01H00-01-05130</t>
  </si>
  <si>
    <t>Ck. 19473</t>
  </si>
  <si>
    <t>DMR202G01H00-01-05076</t>
  </si>
  <si>
    <t>Archivo Modular Metálico de 3 Gavetas Color Gris</t>
  </si>
  <si>
    <t>LEON G.</t>
  </si>
  <si>
    <t>DMR202G01H00-01-05077</t>
  </si>
  <si>
    <t>Ck. 19990 y 3844</t>
  </si>
  <si>
    <t>DMR202G01H00-01-05082</t>
  </si>
  <si>
    <t>Caja Fuerte de Seguridad, Dimensión 22.25 x 18.87 x 17.70”</t>
  </si>
  <si>
    <t>Mod. SS-031D</t>
  </si>
  <si>
    <t>Ck. 20090</t>
  </si>
  <si>
    <t>DMR202G01H00-02-01410</t>
  </si>
  <si>
    <t>Laptop Dell Latitude E5530. Incluye: Bultos en Piel o Nylon.</t>
  </si>
  <si>
    <t>1WHLKX1</t>
  </si>
  <si>
    <t>UTI</t>
  </si>
  <si>
    <t>FL BETANCES Y ASOCIADO, S.A.</t>
  </si>
  <si>
    <t>Ck. 20060</t>
  </si>
  <si>
    <t>DMR202G01H00-02-01406</t>
  </si>
  <si>
    <t>Computador Dell Optiplex 7010</t>
  </si>
  <si>
    <t>CPU: D1MFGX1 MONITOR: CN-0R16JC-72872-340-FODM</t>
  </si>
  <si>
    <t>DMR202G01H00-02-01398</t>
  </si>
  <si>
    <t>CPU: D1MCGX1 MONITOR: CN-0R16JC-72872-345-49UM</t>
  </si>
  <si>
    <t>Consultoria Juridica    Pilar Taveras</t>
  </si>
  <si>
    <t>DMR202G01H00-02-01399</t>
  </si>
  <si>
    <t>CPU: D1MJGX1 MONITOR: CN-0H3PD-72872-07M-1MRS</t>
  </si>
  <si>
    <t>Consultoria Juridica   Erick Quezada</t>
  </si>
  <si>
    <t>DMR202G01H00-02-01380</t>
  </si>
  <si>
    <t>CPU: D1GHGX1 MONITOR: CN-0R16JC-72872-340-F62M</t>
  </si>
  <si>
    <t>Consultoria Juridica   Sabrina Gil</t>
  </si>
  <si>
    <t>DMR202G01H00-02-01386</t>
  </si>
  <si>
    <t>CPU: D1LHGX1 MONITOR: CN-0R16JC-72872-340-F55M</t>
  </si>
  <si>
    <t>Consultoria Juridica   Sonia Rodriguez</t>
  </si>
  <si>
    <t>DMR202G01H00-02-01392</t>
  </si>
  <si>
    <t>CPU: D1HHGX1 MONITOR: CN-00H3PD-72872-07M-0LLS</t>
  </si>
  <si>
    <t>Coordinación Financiera   Indhira Popoteur</t>
  </si>
  <si>
    <t>DMR202G01H00-02-01405</t>
  </si>
  <si>
    <t>CPU: D1LGGX1 MONITOR: CN-0R16JC-72872-340-ERGM</t>
  </si>
  <si>
    <t>Coordinación Financiera   Katiuska Romero</t>
  </si>
  <si>
    <t>DMR202G01H00-02-01379</t>
  </si>
  <si>
    <t xml:space="preserve">CPU: D1NFGX1 MONITOR: CN-0J4413-72201-51R-3D7J </t>
  </si>
  <si>
    <t xml:space="preserve">Correspondencia     </t>
  </si>
  <si>
    <t>DMR202G01H00-02-01393</t>
  </si>
  <si>
    <t>CPU: D1HJGX1 MONITOR: CN-0R16JC-72872-345-AEEM</t>
  </si>
  <si>
    <t>Depto. Adquisiciones  Isabel Orozco</t>
  </si>
  <si>
    <t>DMR202G01H00-02-01408</t>
  </si>
  <si>
    <t>CPU: D1NGGX1 MONITOR: CN-0R16JC-72872-340-EUKM</t>
  </si>
  <si>
    <t>Depto. Adquisiciones  Virgina Melo</t>
  </si>
  <si>
    <t>DMR202G01H00-02-01409</t>
  </si>
  <si>
    <t>CPU: D1NHGX1 MONITOR: CN-0R16JC-72872-340-ADLM</t>
  </si>
  <si>
    <t>Depto. Adquisiciones  Yesenia Martinez</t>
  </si>
  <si>
    <t>DMR202G01H00-02-01404</t>
  </si>
  <si>
    <t>CPU: D1LDGX1 MONITOR: CN-0R16JC-72872-340-EULM</t>
  </si>
  <si>
    <t>Waddys</t>
  </si>
  <si>
    <t>DMR202G01H00-02-01407</t>
  </si>
  <si>
    <t>CPU: D1MHGX1 MONITOR: CN-0R16JC-72872-345-AE7M</t>
  </si>
  <si>
    <t>Gerencia Técnica     Patricia Rivera Torres</t>
  </si>
  <si>
    <t>DMR202G01H00-02-01401</t>
  </si>
  <si>
    <t>CPU: D1HKGX1 MONITOR:CN-0R16JC-72872-340-EHDM</t>
  </si>
  <si>
    <t>Gerencia Técnica Marolin</t>
  </si>
  <si>
    <t>DMR202G01H00-02-01394</t>
  </si>
  <si>
    <t>CPU: D1JGGX1 MONITOR: CN-0R16JC-72872-345-AFOM</t>
  </si>
  <si>
    <t>Gerencia Técnica   Cleotilde Peña</t>
  </si>
  <si>
    <t>DMR202G01H00-02-01370</t>
  </si>
  <si>
    <t>CPU: D1JDGX1  MONITOR: CN-0R16JC-72872-340-F4UM</t>
  </si>
  <si>
    <t>Gerencia Técnica  Manuel Aquino</t>
  </si>
  <si>
    <t>DMR202G01H00-02-01390</t>
  </si>
  <si>
    <t>CPU: D1GJGX1 MONITOR: CN-0R16JC-72872-340-EHJM</t>
  </si>
  <si>
    <t>Gestión a los Servicios de Salud                      Carlos Felix</t>
  </si>
  <si>
    <t>DMR202G01H00-02-01391</t>
  </si>
  <si>
    <t>CPU: D1HGGX1 MONITOR: CN-0R16JC-72872-340-CUMM</t>
  </si>
  <si>
    <t>Gestión a los Servicios de Salud                      Iris García</t>
  </si>
  <si>
    <t>DMR202G01H00-02-01402</t>
  </si>
  <si>
    <t>CPU: D1JFGX1 MONITOR: CN-0R16JC-72872-340-FOEM</t>
  </si>
  <si>
    <t>Gestión a los Servicios de Salud                  Maria Castillo</t>
  </si>
  <si>
    <t>DMR202G01H00-02-01384</t>
  </si>
  <si>
    <t>CPU: D1KGGX1 MONITOR: CN-0R16JC-72872-340-F50M</t>
  </si>
  <si>
    <t>Gestión a los Servicios de Salud                 Maria Rodriguez</t>
  </si>
  <si>
    <t>DMR202G01H00-02-01374</t>
  </si>
  <si>
    <t>CPU: D1LCGX1 MONITOR: CN-0R16JC-72872-340-F4JM</t>
  </si>
  <si>
    <t xml:space="preserve">Departamento Financiero  Katiuska </t>
  </si>
  <si>
    <t>DMR202G01H00-02-01417</t>
  </si>
  <si>
    <t>GV8LKX1</t>
  </si>
  <si>
    <t>Unidad de Tecnologia  Miguel Garcia</t>
  </si>
  <si>
    <t>DMR202G01H00-02-01397</t>
  </si>
  <si>
    <t>CPU: D1KHGX1 MONITOR: CN-0R16JC-72872-345-ADYM</t>
  </si>
  <si>
    <t>Planificación y Desarrollo                Gloria Peña</t>
  </si>
  <si>
    <t>DMR202G01H00-02-01372</t>
  </si>
  <si>
    <t>CPU: D1KJGX1  MONITOR: CN-0R16JC-72872-340-FOFM</t>
  </si>
  <si>
    <t xml:space="preserve">Planificación y Desarrollo              </t>
  </si>
  <si>
    <t>DMR202G01H00-02-01414</t>
  </si>
  <si>
    <t xml:space="preserve"> 8V8LKX1 / CN-0R16JC-72872-340-EHJM</t>
  </si>
  <si>
    <t xml:space="preserve">Prensa y Relaciones Pública                              </t>
  </si>
  <si>
    <t>DMR202G01H00-02-01400</t>
  </si>
  <si>
    <t>CPU: D1HFGX1 MONITOR: CN-0R16JC-72872-340-EH7M</t>
  </si>
  <si>
    <t xml:space="preserve">Prensa y Relaciones Pública       </t>
  </si>
  <si>
    <t>DMR202G01H00-02-01383</t>
  </si>
  <si>
    <t>CPU: D1KFGX1 MONITOR: CN-0R16JC-72872-340-FOMM</t>
  </si>
  <si>
    <t>Prensa y Relaciones Pública                    Vianco Martinez</t>
  </si>
  <si>
    <t>DMR202G01H00-02-01373</t>
  </si>
  <si>
    <t>CPU: D1KKGX1  MONITOR: CN-0R16JC-72872-34S-AE1M</t>
  </si>
  <si>
    <t xml:space="preserve">Recepcionista                    </t>
  </si>
  <si>
    <t>DMR202G01H00-02-01382</t>
  </si>
  <si>
    <t>CPU: D1HDGX1 MONITOR: CN-0N0IVP-64180-23H-1LSS</t>
  </si>
  <si>
    <t>Servicios Generales        Mariette Feliz</t>
  </si>
  <si>
    <t>DMR202G01H00-02-01385</t>
  </si>
  <si>
    <t>CPU: D1LFGX1 MONITOR: CN-0R16JC-72872-340-F5PM</t>
  </si>
  <si>
    <t>Servicios Generales     Kissairy Pichardo</t>
  </si>
  <si>
    <t>DMR202G01H00-02-01387</t>
  </si>
  <si>
    <t>CPU: D1MDGX1 MONITOR: CN-0R16JC-72872-340-EJIM</t>
  </si>
  <si>
    <t>Unidad de Acceso a la Información             Esther Santana</t>
  </si>
  <si>
    <t>DMR202G01H00-02-01381</t>
  </si>
  <si>
    <t>CPU: D1GKGX1 MONITOR: CN-0R16JC-72872-340-ERFM</t>
  </si>
  <si>
    <t>Unidad de Tecnologia</t>
  </si>
  <si>
    <t>DMR202G01H00-02-01389</t>
  </si>
  <si>
    <t xml:space="preserve">CPU: D1NCGX1 MONITOR: CN-0CC352-64180-62J-27WL     </t>
  </si>
  <si>
    <t>DMR202G01H00-02-01416</t>
  </si>
  <si>
    <t>Laptop Dell Latitude E5530. Incluye: Monitor, Bultos en Piel o Nylon.</t>
  </si>
  <si>
    <t>F6CLKX1 / MONITOR: CN-00H3PD-7287207M-0HJS</t>
  </si>
  <si>
    <t>Monitores programaticos Salvador</t>
  </si>
  <si>
    <t>DMR202G01H00-02-01375</t>
  </si>
  <si>
    <t>CPU: D1LJGX1 MONITOR: CN-0R16JC-72872-340-ERLM</t>
  </si>
  <si>
    <t>Unidad de Tecnología   Junior Medina</t>
  </si>
  <si>
    <t>DMR202G01H00-02-01396</t>
  </si>
  <si>
    <t>CPU: D1KDGX1 MONITOR:CN-0R16JC-72872-357-C2JM</t>
  </si>
  <si>
    <t>Departamento Financiero Wanda Medina</t>
  </si>
  <si>
    <t>DMR202G01H00-02-01378</t>
  </si>
  <si>
    <t>CPU: D1NDGX1 MONITOR: CN-0R16JC-72872-340-F4TM</t>
  </si>
  <si>
    <t>Unidad Población Clave                         Betzaida Villeta</t>
  </si>
  <si>
    <t>DMR202G01H00-02-01411</t>
  </si>
  <si>
    <t>2N8LKX1 / CN-0N01VP-64180-23H-1LM5</t>
  </si>
  <si>
    <t>Unidad Población Clave  Raziel Zayas Severino</t>
  </si>
  <si>
    <t>DMR202G01H00-02-01403</t>
  </si>
  <si>
    <t>CPU: D1JHGX1 MONITOR: CN-0N01VP-64180-23A-OUNS</t>
  </si>
  <si>
    <t>Unidad Transportación Pascasio Toribio</t>
  </si>
  <si>
    <t>Ck. 371    SUB-BENEF.</t>
  </si>
  <si>
    <t>DMR202G01H00-02-01218</t>
  </si>
  <si>
    <t>Laptop HP ProBook 4540s. Incluye: Bulto de Nylon.</t>
  </si>
  <si>
    <t>CCE2423D79</t>
  </si>
  <si>
    <t>Ck. 20196</t>
  </si>
  <si>
    <t>DMR202G01H00-02-01278</t>
  </si>
  <si>
    <t>Impresora LaserJet Pro-400 Color M451DN</t>
  </si>
  <si>
    <t>CNDF214757</t>
  </si>
  <si>
    <t>Miguel Ruiz</t>
  </si>
  <si>
    <t>DMR202G01H00-02-01279</t>
  </si>
  <si>
    <t>CNDF315264</t>
  </si>
  <si>
    <t>Consultoria Juridica</t>
  </si>
  <si>
    <t>DMR202G01H00-02-01276</t>
  </si>
  <si>
    <t>CNDF104314</t>
  </si>
  <si>
    <t>Coordinación Administrativa          Mirian Baez</t>
  </si>
  <si>
    <t>DMR202G01H00-02-01273</t>
  </si>
  <si>
    <t>CNDF315271</t>
  </si>
  <si>
    <t>DMR202G01H00-02-01270</t>
  </si>
  <si>
    <t>Laptop Dell Latitude E5530. Incluye: Docking Station y Bultos en Nylon.</t>
  </si>
  <si>
    <t>F7SKJX1</t>
  </si>
  <si>
    <t>Coordinación Financiera               Wanda Y. Medina G.</t>
  </si>
  <si>
    <t>DMR202G01H00-02-01274</t>
  </si>
  <si>
    <t>CNDF315272</t>
  </si>
  <si>
    <t>DMR202G01H00-02-01261</t>
  </si>
  <si>
    <t>Laptop: J6SKJX1            Monitor: FWKTJV2</t>
  </si>
  <si>
    <t>Depto. Adquisiciones   Giselle Otero</t>
  </si>
  <si>
    <t>DMR202G01H00-02-01282</t>
  </si>
  <si>
    <t>CNDF104311</t>
  </si>
  <si>
    <t>Direccion Ejecutiva             Henriquez Gonzalez</t>
  </si>
  <si>
    <t>DMR202G01H00-02-01280</t>
  </si>
  <si>
    <t>CNDF315267</t>
  </si>
  <si>
    <t>Gerencia Tecnica           Rosa Sanchez</t>
  </si>
  <si>
    <t>DMR202G01H00-02-01277</t>
  </si>
  <si>
    <t>CNDF214744</t>
  </si>
  <si>
    <t>Planificación y Desarrollo                                 Nelson Belisario</t>
  </si>
  <si>
    <t>DMR202G01H00-02-01281</t>
  </si>
  <si>
    <t>CNDF315268</t>
  </si>
  <si>
    <t>Unidad de Monitores Financieros</t>
  </si>
  <si>
    <t>DMR202G01H00-02-01269</t>
  </si>
  <si>
    <t>8LRKJX1</t>
  </si>
  <si>
    <t>Unidad de Tecnología    Miguel Garcia</t>
  </si>
  <si>
    <t>DMR202G01H00-02-01260</t>
  </si>
  <si>
    <t xml:space="preserve"> H0SKJX1 </t>
  </si>
  <si>
    <t>Director Ejecutivo         Uso Externo</t>
  </si>
  <si>
    <t>DMR202G01H00-02-01263</t>
  </si>
  <si>
    <t>J6SKJXL</t>
  </si>
  <si>
    <t xml:space="preserve">Almacén de Suministro         Jhondan Anthonio Vicente </t>
  </si>
  <si>
    <t>DMR202G01H00-01-05123</t>
  </si>
  <si>
    <t>DMR202G01H00-01-05126</t>
  </si>
  <si>
    <t>DMR202G01H00-01-05127</t>
  </si>
  <si>
    <t>DMR202G01H00-01-05128</t>
  </si>
  <si>
    <t>Ck. 20291</t>
  </si>
  <si>
    <t>DMR202G01H00-05-01736</t>
  </si>
  <si>
    <t>Equipo de Electroforesis de Gel de Agarosa InterLab-Pretty. Incluye: PC, UPS y Printer.</t>
  </si>
  <si>
    <t>CLINIMED, SRL.</t>
  </si>
  <si>
    <t>Ck. 380    SUB-BENEF.</t>
  </si>
  <si>
    <t>DMR202G01H00-01-05132</t>
  </si>
  <si>
    <t xml:space="preserve">Calculadora Sumadora Sharp EL-2630P  </t>
  </si>
  <si>
    <t>2D00891X</t>
  </si>
  <si>
    <t>OFFITEK, S.R.L.</t>
  </si>
  <si>
    <t>Ck. 20477</t>
  </si>
  <si>
    <t>DMR202G01H00-01-05133</t>
  </si>
  <si>
    <t>Cámara Fotográfica NIKON D7200 16.2 MP Digital SLR Came. Incluye: Pack de 1 Baterias Adicional P/NIKON.</t>
  </si>
  <si>
    <t>Prensa y Relaciones Pública</t>
  </si>
  <si>
    <t>PC GALLERY, S.R.L.</t>
  </si>
  <si>
    <t>Ck. 20478</t>
  </si>
  <si>
    <t>DMR202G01H00-01-05134</t>
  </si>
  <si>
    <t>Flash SB-910 AF Speedlight I-ITTL Shoe Mount y Dos (2) Memorias Card 400x UDMA de 32GB.</t>
  </si>
  <si>
    <t>LR CAMARA SHOP, S.R.L.</t>
  </si>
  <si>
    <t>Ck. 20479</t>
  </si>
  <si>
    <t>DMR202G01H00-01-05135</t>
  </si>
  <si>
    <t>Lente Telefoto Zoom 18-200mm F3.5-6   AF-S y Un Bulto para Camara Profesional.</t>
  </si>
  <si>
    <t>US2040511</t>
  </si>
  <si>
    <t>CAMARAS Y LAPTOPS MG OUTLET</t>
  </si>
  <si>
    <t>Ck. 20498</t>
  </si>
  <si>
    <t>DMR202G01H00-01-05136</t>
  </si>
  <si>
    <t>Aire Acondicionado Tipo Split de 12,000 BTU. Marca: TGM Horz. Incluye: Kit de Instalación</t>
  </si>
  <si>
    <t>Almacen de suministro</t>
  </si>
  <si>
    <t>REFRIPARTES, S.A.</t>
  </si>
  <si>
    <t>JAYSA MUEBLES, S.R.L.</t>
  </si>
  <si>
    <t>Ck. 21395</t>
  </si>
  <si>
    <t>Silla Secretarial con Brazos, Espaldar en Malla y Asiento en Tela color Negro</t>
  </si>
  <si>
    <t>DMR202G01H00-01-05174</t>
  </si>
  <si>
    <t>Depto. Movilización Social</t>
  </si>
  <si>
    <t>DMR202G01H00-01-05170</t>
  </si>
  <si>
    <t>DMR202G01H00-01-05177</t>
  </si>
  <si>
    <t>DMR202G01H00-01-05178</t>
  </si>
  <si>
    <t>DMR202G01H00-01-05168</t>
  </si>
  <si>
    <t>Gestión a los Servicios de Salud</t>
  </si>
  <si>
    <t>DMR202G01H00-01-05169</t>
  </si>
  <si>
    <t>DMR202G01H00-01-05179</t>
  </si>
  <si>
    <t>Gestión Humana</t>
  </si>
  <si>
    <t>DMR202G01H00-01-05176</t>
  </si>
  <si>
    <t>DMR202G01H00-01-05173</t>
  </si>
  <si>
    <t>Relaciones Públicas</t>
  </si>
  <si>
    <t>DMR202G01H00-01-05162</t>
  </si>
  <si>
    <t>DMR202G01H00-01-05163</t>
  </si>
  <si>
    <t xml:space="preserve">Coordinacion Administrativa  Carolina Alsequier </t>
  </si>
  <si>
    <t>DMR202G01H00-01-05164</t>
  </si>
  <si>
    <t>DMR202G01H00-01-05165</t>
  </si>
  <si>
    <t>DMR202G01H00-01-05166</t>
  </si>
  <si>
    <t>DMR202G01H00-01-05167</t>
  </si>
  <si>
    <t>DMR202G01H00-01-05175</t>
  </si>
  <si>
    <t>Ck. 21612 y 4059</t>
  </si>
  <si>
    <t>DMR202G01H00-01-05183</t>
  </si>
  <si>
    <t>Bebedero de Botellon, Marca: American, Mod. 66SSA.</t>
  </si>
  <si>
    <t xml:space="preserve">Coordinacion Administrativa </t>
  </si>
  <si>
    <t>RADIOCENTRO, S.R.L.</t>
  </si>
  <si>
    <t>Ck. 21648 y 4055</t>
  </si>
  <si>
    <t>DMR202G01H00-01-05184</t>
  </si>
  <si>
    <t>Aire Acondicionado Tipo Split de 24,000 BTU. Marca: Midea. Incluye: Kit de Instalación.</t>
  </si>
  <si>
    <t>Dirección Ejecutiva</t>
  </si>
  <si>
    <t>Ck. 21936</t>
  </si>
  <si>
    <t>DMR202G01H00-01-05185</t>
  </si>
  <si>
    <t>Silla Secretarial con Brazos, Espaldar en Malla Verde y Asiento en Tela.</t>
  </si>
  <si>
    <t>EDUVIGES ALTAGR. CONTRERAS / TIENDA LA SIRENA.</t>
  </si>
  <si>
    <t>Ck. 21961</t>
  </si>
  <si>
    <t>DMR202G01H00-01-05186</t>
  </si>
  <si>
    <t>Ck. 22895  y 4220 Gob.    ITBIS</t>
  </si>
  <si>
    <t>DMR202G01H00-01-05192</t>
  </si>
  <si>
    <t>Bebedero de Botellón General Electric con Neverita  Integrada.</t>
  </si>
  <si>
    <t>21529NZC0658</t>
  </si>
  <si>
    <t>Ck. 22992  y 4224 Gob.  ITBIS</t>
  </si>
  <si>
    <t>DMR202G01H00-02-01481</t>
  </si>
  <si>
    <t>Scanner Fujitsu Scan Snap iX500</t>
  </si>
  <si>
    <t>A0VB235236</t>
  </si>
  <si>
    <t>SIMPAPEL, SRL.</t>
  </si>
  <si>
    <t>Ck. 23096      Caja Chica</t>
  </si>
  <si>
    <t>DMR202G01H00-01-05193</t>
  </si>
  <si>
    <t>Armario Metalico de 2 Puertas, Color Gris</t>
  </si>
  <si>
    <t>EDUVIGES ALT. CONTRERAS Y/O OPORTUNIDADES MOLINA.</t>
  </si>
  <si>
    <t xml:space="preserve">Ck. 23030 </t>
  </si>
  <si>
    <t>DMR202G01H00-01-05194</t>
  </si>
  <si>
    <t>EDYJCSA, SRL.</t>
  </si>
  <si>
    <t>Ck. 23031</t>
  </si>
  <si>
    <t>DMR202G01H00-01-05195</t>
  </si>
  <si>
    <t>Trituradora de Papel GBC ShredMaster de 12 Hoja. Mod. SC170</t>
  </si>
  <si>
    <t>AG28422H</t>
  </si>
  <si>
    <t>GLOBAL OFFICE JL, SRL.</t>
  </si>
  <si>
    <t>Ck. 23328 y 000024 Contrapartida ITBIS</t>
  </si>
  <si>
    <t>DMR202G01H00-01-05201</t>
  </si>
  <si>
    <t>Aire Acondicionado Tipo Split de 12,000 BTU. Marca: Lennox. Incluye: Kit de Instalación y Base.</t>
  </si>
  <si>
    <t>REFRICENTRO LOS PRADOS, SRL.</t>
  </si>
  <si>
    <t>DMR202G01H00-01-05202</t>
  </si>
  <si>
    <t>DMR202G01H00-01-05204</t>
  </si>
  <si>
    <t>Aire Acondicionado Tipo Split de 18,000 BTU. Marca: Lennox. Incluye: Kit de Instalación y Base.</t>
  </si>
  <si>
    <t>COND.: S2815B59091   COMP. : S2815B09378</t>
  </si>
  <si>
    <t>DMR202G01H00-01-05199</t>
  </si>
  <si>
    <t>COND.: S2815B09292   COMP. : S2815B58953</t>
  </si>
  <si>
    <t>OFICINA METROPOLITANA DE SALUD - D.N.</t>
  </si>
  <si>
    <t>DMR202G01H00-01-05205</t>
  </si>
  <si>
    <t>Aire Acondicionado Tipo Split de 36,000 BTU. Marca: Lennox. Incluye: Kit de Instalación y Base.</t>
  </si>
  <si>
    <t>DMR202G01H00-01-05200</t>
  </si>
  <si>
    <t>COND.: S2815B02276   COMP. : S2815B58930</t>
  </si>
  <si>
    <t>Ck. 23349   y 000025 Contrapartida ITBIS</t>
  </si>
  <si>
    <t>DMR202G01H00-01-05270</t>
  </si>
  <si>
    <t xml:space="preserve">Archivo Modular Metálico de 3 Gavetas Color Gris </t>
  </si>
  <si>
    <t>ACTUALIDADES DV, S.R.L.</t>
  </si>
  <si>
    <t>DMR202G01H00-01-05218</t>
  </si>
  <si>
    <t>Escritorio en Melanina 120 x 60cm.</t>
  </si>
  <si>
    <t>DMR202G01H00-01-05288</t>
  </si>
  <si>
    <t>Estante Tipo Librero con Puertas Bajas</t>
  </si>
  <si>
    <t>DMR202G01H00-01-05242</t>
  </si>
  <si>
    <t>Silla de Visita en Tela Negra</t>
  </si>
  <si>
    <t>DMR202G01H00-01-05243</t>
  </si>
  <si>
    <t>DMR202G01H00-01-05244</t>
  </si>
  <si>
    <t>DMR202G01H00-01-05245</t>
  </si>
  <si>
    <t>DMR202G01H00-01-05223</t>
  </si>
  <si>
    <t>Sillón Ejecutivo en Piel Negra</t>
  </si>
  <si>
    <t>DMR202G01H00-01-05227</t>
  </si>
  <si>
    <t>DMR202G01H00-01-05228</t>
  </si>
  <si>
    <t>Ck. 23336 y 000003 Contrapartida ITBIS</t>
  </si>
  <si>
    <t>DMR202G01H00-01-05206</t>
  </si>
  <si>
    <t>81729NMD0486</t>
  </si>
  <si>
    <t>ALMACENES UNIDOS, S.A.S.</t>
  </si>
  <si>
    <t>DMR202G01H00-01-05266</t>
  </si>
  <si>
    <t>DMR202G01H00-01-05267</t>
  </si>
  <si>
    <t>DMR202G01H00-01-05268</t>
  </si>
  <si>
    <t>DMR202G01H00-01-05269</t>
  </si>
  <si>
    <t>DMR202G01H00-01-05214</t>
  </si>
  <si>
    <t>Escritorio en Melanina 120 x 60cm. + Mesa Auxiliar en Melanina 18 x 42"</t>
  </si>
  <si>
    <t>DMR202G01H00-01-05287</t>
  </si>
  <si>
    <t>DMR202G01H00-01-05213</t>
  </si>
  <si>
    <t>Abanico de Pared Hamilton 18"</t>
  </si>
  <si>
    <t>Mod. KF-1816</t>
  </si>
  <si>
    <t>OFICINA REGIONAL DE SALUD - BARAHONA</t>
  </si>
  <si>
    <t>DMR202G01H00-01-05274</t>
  </si>
  <si>
    <t>DMR202G01H00-01-05275</t>
  </si>
  <si>
    <t>DMR202G01H00-01-05276</t>
  </si>
  <si>
    <t>DMR202G01H00-01-05277</t>
  </si>
  <si>
    <t>DMR202G01H00-01-05283</t>
  </si>
  <si>
    <t>DMR202G01H00-01-05264</t>
  </si>
  <si>
    <t>Banqueta de 3 Personas, Base Aluminio y Tela Negra 62"</t>
  </si>
  <si>
    <t>DMR202G01H00-01-05221</t>
  </si>
  <si>
    <t>DMR202G01H00-01-05216</t>
  </si>
  <si>
    <t>DMR202G01H00-01-05289</t>
  </si>
  <si>
    <t>DMR202G01H00-01-05286</t>
  </si>
  <si>
    <t>Mesa de Reuniones Redonda 4 Personas</t>
  </si>
  <si>
    <t>DMR202G01H00-01-05249</t>
  </si>
  <si>
    <t>DMR202G01H00-01-05250</t>
  </si>
  <si>
    <t>DMR202G01H00-01-05251</t>
  </si>
  <si>
    <t>DMR202G01H00-01-05252</t>
  </si>
  <si>
    <t>DMR202G01H00-01-05253</t>
  </si>
  <si>
    <t>DMR202G01H00-01-05254</t>
  </si>
  <si>
    <t>DMR202G01H00-01-05255</t>
  </si>
  <si>
    <t>DMR202G01H00-01-05256</t>
  </si>
  <si>
    <t>DMR202G01H00-01-05224</t>
  </si>
  <si>
    <t>DMR202G01H00-01-05230</t>
  </si>
  <si>
    <t>Ck. 23416  y 000018 Contrapartida ITBIS</t>
  </si>
  <si>
    <t>DMR202G01H00-02-01493</t>
  </si>
  <si>
    <t>UPS OMEA DE 650VA con Regulador de Voltaje Integrado</t>
  </si>
  <si>
    <t>111503300297</t>
  </si>
  <si>
    <t>UNIDAD TECNOLOGICA DOM. SRL.</t>
  </si>
  <si>
    <t>DMR202G01H00-02-01494</t>
  </si>
  <si>
    <t>111503300298</t>
  </si>
  <si>
    <t>Ck. 23409</t>
  </si>
  <si>
    <t>DMR202G01H00-01-05291</t>
  </si>
  <si>
    <t>Maquina Encuadernadora GBC</t>
  </si>
  <si>
    <t>Mod. MX0016</t>
  </si>
  <si>
    <t>DMR202G01H00-03-00038</t>
  </si>
  <si>
    <t>Jeepeta Suzuki Grand Vitara 2015 / 2W    Color Gris</t>
  </si>
  <si>
    <t>chassis: JS3TE04V4G4100174</t>
  </si>
  <si>
    <t>Ante Despacho del Director</t>
  </si>
  <si>
    <t>DMR202G01H00-03-00035</t>
  </si>
  <si>
    <t>Camioneta Mazda BT-50 Doble Cabina 4x4 2014. Color Blanca</t>
  </si>
  <si>
    <t>Chassis: MM7UNY0W4E0939214</t>
  </si>
  <si>
    <t>Depto. Transportación</t>
  </si>
  <si>
    <t>DMR202G01H00-03-00037</t>
  </si>
  <si>
    <t>Jeepeta Hyundai Tucson 2015 / 2WD</t>
  </si>
  <si>
    <t>chassis: KMHJT81EBFU091340</t>
  </si>
  <si>
    <t>Ck. 23419 y 000016 Contrapartida ITBIS</t>
  </si>
  <si>
    <t>DMR202G01H00-02-01497</t>
  </si>
  <si>
    <t>Computador Dell Optiplex 3020 SFF</t>
  </si>
  <si>
    <t>CPU: BS79C42    MONITOR: CN-0HDNH9-72872-44M-AJJB</t>
  </si>
  <si>
    <t>FL BETANCES Y ASOCIADOS, SRL.</t>
  </si>
  <si>
    <t>DMR202G01H00-02-01498</t>
  </si>
  <si>
    <t>CPU: DNX1942    MONITOR: CN-0HDNH9-72872-455-DMPB</t>
  </si>
  <si>
    <t>DMR202G01H00-02-01499</t>
  </si>
  <si>
    <t>CPU: FCYRR12    MONITOR: CN-0HDNH9-72872-44A-A7DB</t>
  </si>
  <si>
    <t>Ck. 23423 y 000017  Contrapartida ITBIS</t>
  </si>
  <si>
    <t>DMR202G01H00-02-01509</t>
  </si>
  <si>
    <t>Impresora LaserJet Pro MFP M225dw</t>
  </si>
  <si>
    <t>CNB8H253V5</t>
  </si>
  <si>
    <t>CLICKTECK, S.R.L.</t>
  </si>
  <si>
    <t>DMR202G01H00-02-01515</t>
  </si>
  <si>
    <t>CNB8H253TW</t>
  </si>
  <si>
    <t>HOSPITAL NTRA. SRA. DE REGLA - BANI</t>
  </si>
  <si>
    <t>DMR202G01H00-02-01514</t>
  </si>
  <si>
    <t>CNB8H253YW</t>
  </si>
  <si>
    <t>HOSP. NTRA. SEÑORA DE REGLA / BANI</t>
  </si>
  <si>
    <t>DMR202G01H00-02-01503</t>
  </si>
  <si>
    <t>CPU: DNY4942        MONITOR: CN-0HDNH9-72872-4AG-AGGM</t>
  </si>
  <si>
    <t>DMR202G01H00-02-01504</t>
  </si>
  <si>
    <t>CPU: 8PB0T12         MONITOR: CN-0HDNH9-72872-4AK-CKHB</t>
  </si>
  <si>
    <t>DMR202G01H00-02-01505</t>
  </si>
  <si>
    <t>CPU: DN64942         MONITOR: CN-0HDNH9-72872-45U-A9FM</t>
  </si>
  <si>
    <t>DMR202G01H00-02-01513</t>
  </si>
  <si>
    <t>CNB8H253WG</t>
  </si>
  <si>
    <t xml:space="preserve">Ck. 23421  ITBIS </t>
  </si>
  <si>
    <t>DMR202G01H00-03-00036</t>
  </si>
  <si>
    <t>chassis: MM7UNY0W4E0939304</t>
  </si>
  <si>
    <t>VIAMAR, S.A.</t>
  </si>
  <si>
    <t xml:space="preserve">Ck. 23453   ITBIS </t>
  </si>
  <si>
    <t>DMR202G01H00-03-00039</t>
  </si>
  <si>
    <t>chassis: MM7UNY0W4E0938797</t>
  </si>
  <si>
    <t>INST. DERMATOLOGICO Y CIR. DE PIEL</t>
  </si>
  <si>
    <t>Ck. 23833 y Ck. 78 Pago  ITBIS - Anticipo</t>
  </si>
  <si>
    <t>DMR202G01H00-03-00042</t>
  </si>
  <si>
    <t>Honda CR-V Semi-Full 2WD 2015</t>
  </si>
  <si>
    <t>chassis: 3HGRM3830FG600823</t>
  </si>
  <si>
    <t>Dirección Ejecutiva     Polivio Perez</t>
  </si>
  <si>
    <t>AGENCIA BELLA, S.A.</t>
  </si>
  <si>
    <t>Ck. 24279  y Ck. 105 Pago ITBIS - Anticipo</t>
  </si>
  <si>
    <t>DMR202G01H00-01-05324</t>
  </si>
  <si>
    <t>Mueble Tipo Estante en Madera y Revestido en Formica, para Impresora y Copiadora.</t>
  </si>
  <si>
    <t>DANIEL FERNANDEZ MEDRANO</t>
  </si>
  <si>
    <t>Ck. 23442  y Ck. 113   ITBIS Gob. Donación</t>
  </si>
  <si>
    <t>DMR202G01H00-01-05295</t>
  </si>
  <si>
    <t>Archivo Lateral de 4 Gavetas, Color Crema</t>
  </si>
  <si>
    <t>Ck. 24442  y Ck. 113  ITBIS Gob. Donación</t>
  </si>
  <si>
    <t>DMR202G01H00-01-05294</t>
  </si>
  <si>
    <t>Ck. 25076</t>
  </si>
  <si>
    <t>Computador Dell Optiplex 3020                 Incluye: Mouse y Teclado</t>
  </si>
  <si>
    <t>CLICKTECK, SRL.</t>
  </si>
  <si>
    <t>DMR202G01H00-02-01543</t>
  </si>
  <si>
    <t>CPU: 6VZ1F42 / MONITOR: CN-0HN22V-7282-66L-ANKB</t>
  </si>
  <si>
    <t>INST. NAC. DE LA SALUD / INSALUD</t>
  </si>
  <si>
    <t>DMR202G01H00-02-01553</t>
  </si>
  <si>
    <t>CPU: 6WHZD42 / MONITOR: CN-0HN22V-7282-66L-APGB</t>
  </si>
  <si>
    <t>CENTRO INV. Y APOYO CULTURAL, INC. / CIAC</t>
  </si>
  <si>
    <t>DMR202G01H00-02-01561</t>
  </si>
  <si>
    <t>CPU: J5QRV52 / MONITOR: CN-0HN22V-7282-66L-A3CB</t>
  </si>
  <si>
    <t>DMR202G01H00-02-01542</t>
  </si>
  <si>
    <t>CPU: 6VZSD42 / MONITOR: CN-0HN22V-7282-66L-AMUB</t>
  </si>
  <si>
    <t>DMR202G01H00-02-01560</t>
  </si>
  <si>
    <t>CPU: 6W30F42 / MONITOR: CN-0HN22V-7282-66L-ANJB</t>
  </si>
  <si>
    <t>Jimani</t>
  </si>
  <si>
    <t>HOSP. GENERAL MELENCIANO / JIMANI</t>
  </si>
  <si>
    <t>DMR202G01H00-02-01558</t>
  </si>
  <si>
    <t>CPU: 6W1ZD42 / MONITOR: CN-0HN22V-7282-66L-AWUB</t>
  </si>
  <si>
    <t>San Juan de la Maguana</t>
  </si>
  <si>
    <t>FUND. DE MUJERES PARA EL DES. DE SAN JUAN / FUMUDESJU</t>
  </si>
  <si>
    <t>DMR202G01H00-02-01548</t>
  </si>
  <si>
    <t>CPU: 6W13F42 / MONITOR: CN-0HN22V-7282-66L-C29B</t>
  </si>
  <si>
    <t>Santo Domingo Norte</t>
  </si>
  <si>
    <t>MOV. SOCIO-CULTURAL DE LOS TRAB. HAITIANOS / MOSCTHA</t>
  </si>
  <si>
    <t>DMR202G01H00-02-01552</t>
  </si>
  <si>
    <t>CPU: 6WC2F42 / MONITOR: CN-0HN22V-7282-66L-A3WB</t>
  </si>
  <si>
    <t>MUJERES DOM. EN DESARROLLO / MUDE</t>
  </si>
  <si>
    <t>DMR202G01H00-02-01550</t>
  </si>
  <si>
    <t>CPU: 6WOYD42 / MONITOR: CN-0HN22V-7282-66L-A4HB</t>
  </si>
  <si>
    <t>INST. DOM. DE DES. INTEGRAL / IDDI</t>
  </si>
  <si>
    <t>DMR202G01H00-02-01555</t>
  </si>
  <si>
    <t>Santo Domingo, D.N. Villas Agricolas</t>
  </si>
  <si>
    <t>CENTRO DE ORIENTACION E INV. INTEGRAL / COIN</t>
  </si>
  <si>
    <t>Ck. 25115</t>
  </si>
  <si>
    <t>DMR202G01H00-02-01571</t>
  </si>
  <si>
    <t>Computador Dell Optiplex 3046                 Incluye: Mouse y Teclado</t>
  </si>
  <si>
    <t xml:space="preserve">CPU: FV09ND2 / MONITOR: 3BQL192                                 </t>
  </si>
  <si>
    <t>Elias Piña</t>
  </si>
  <si>
    <t>HOSP. ROSA DUARTE / ELIAS PIÑA</t>
  </si>
  <si>
    <t>DMR202G01H00-02-01580</t>
  </si>
  <si>
    <t xml:space="preserve">CPU: FTZ9ND2 / MONITOR: 4LBNK62    </t>
  </si>
  <si>
    <t>DMR202G01H00-02-01578</t>
  </si>
  <si>
    <t xml:space="preserve">CPU: FV2DND2 / MONITOR: H1CNK62             </t>
  </si>
  <si>
    <t>Salcedo</t>
  </si>
  <si>
    <t xml:space="preserve">HOSP. PASCASIO TOBIRIO PIANTINI / SALCEDO              </t>
  </si>
  <si>
    <t>DMR202G01H00-02-01581</t>
  </si>
  <si>
    <t>CPU: FV0CND2 / MONITOR: 22PL192</t>
  </si>
  <si>
    <t>DMR202G01H00-02-01567</t>
  </si>
  <si>
    <t>CPU: FV07ND2 / MONITOR: FJBTW82</t>
  </si>
  <si>
    <t>DMR202G01H00-02-01568</t>
  </si>
  <si>
    <t>HOSP. RICARDO LIMARDO / P. PLATA</t>
  </si>
  <si>
    <t>DMR202G01H00-02-01576</t>
  </si>
  <si>
    <t>DMR202G01H00-02-01573</t>
  </si>
  <si>
    <t>San Cristobal</t>
  </si>
  <si>
    <t>HOSP. JUAN PABLO PINA / SAN CRISTOBAL</t>
  </si>
  <si>
    <t>Ck. 25528 + ITBIS Ck.276 Contrapart.</t>
  </si>
  <si>
    <t>DMR202G01H00-02-01588</t>
  </si>
  <si>
    <t>Laptop Dell XPS 13 9350 Ultrabook Silver           Incluye: Cargador y Adaptador USB</t>
  </si>
  <si>
    <t>Laptop: JG3LHC2     Monitor: 4NFTKV2</t>
  </si>
  <si>
    <t>DMR202G01H00-02-01591</t>
  </si>
  <si>
    <t>Laptop Dell Latitude 5480                           Incluye: Cargador y Bulto</t>
  </si>
  <si>
    <t>Laptop: GYG18H2   Monitor: CN-OR16JC-72872-34O-EH9M</t>
  </si>
  <si>
    <t>Gerencia Técnica   Leticia Cos</t>
  </si>
  <si>
    <t>DMR202G01H00-02-01590</t>
  </si>
  <si>
    <t>Laptop: 7YM18H2    Monitor:8B478V2</t>
  </si>
  <si>
    <t xml:space="preserve">Planificación y Desarrollo                  Francia </t>
  </si>
  <si>
    <t>DMR202G01H00-02-01589</t>
  </si>
  <si>
    <t>CTM18H2</t>
  </si>
  <si>
    <t>Servicios Generales       Emperatriz Alvarez</t>
  </si>
  <si>
    <t>Ck. 25574 + ITBIS Ck.281 Contrapart.</t>
  </si>
  <si>
    <t>DMR202G01H00-02-01594</t>
  </si>
  <si>
    <t>BOR18H2</t>
  </si>
  <si>
    <t>Monitores Financieros                  Eric Laura Salcedo</t>
  </si>
  <si>
    <t>MICRO &amp; MINICOMPUTADORES, S.A.</t>
  </si>
  <si>
    <t>DMR202G01H00-02-01593</t>
  </si>
  <si>
    <t>GTM18H2</t>
  </si>
  <si>
    <t>Monitores Financieros                José Santana</t>
  </si>
  <si>
    <t>DMR202G01H00-02-01595</t>
  </si>
  <si>
    <t>9P928H2</t>
  </si>
  <si>
    <t>Monitores Financieros             Maria Jaqueline</t>
  </si>
  <si>
    <t>DMR202G01H00-02-01596</t>
  </si>
  <si>
    <t>9Q928H2</t>
  </si>
  <si>
    <t>Monitores Financieros           Clara Elena</t>
  </si>
  <si>
    <t>DMR202G01H00-02-01592</t>
  </si>
  <si>
    <t>2ZM18H2</t>
  </si>
  <si>
    <t>Monitores Financieros          Licelotte Calvajar</t>
  </si>
  <si>
    <t>Ck. 26097</t>
  </si>
  <si>
    <t>DMR202G01H00-05-01741</t>
  </si>
  <si>
    <t xml:space="preserve">Centrifuga de 48 Tubos CENLBN-800ML </t>
  </si>
  <si>
    <t>LABORATORIO CLINICO Centro Diagnóstico y Atención Primaria "Gurabo" Santiago</t>
  </si>
  <si>
    <t>CUSTOMED DOMINICANA, SRL.</t>
  </si>
  <si>
    <t>DMR202G01H00-05-01742</t>
  </si>
  <si>
    <t xml:space="preserve">Autoclave Eléctrico de 50 Litros UTKBS-50V </t>
  </si>
  <si>
    <t>DMR202G01H00-05-01746</t>
  </si>
  <si>
    <t xml:space="preserve">Autoclave Eléctrico de 30 Litros UTKBS-30V </t>
  </si>
  <si>
    <t>DMR202G01H00-05-01747</t>
  </si>
  <si>
    <t>CUSTOMED DOMINICANA SRL.</t>
  </si>
  <si>
    <t>DMR202G01H00-05-01748</t>
  </si>
  <si>
    <t>Nevera Freezer para Muestras BIOBASE</t>
  </si>
  <si>
    <t>DMR202G01H00-05-01811</t>
  </si>
  <si>
    <t>Silla / Taburete para Laboratorio Clínico</t>
  </si>
  <si>
    <t>BIONUCLEAR S.A.</t>
  </si>
  <si>
    <t>DMR202G01H00-05-01812</t>
  </si>
  <si>
    <t>DMR202G01H00-05-01813</t>
  </si>
  <si>
    <t>DMR202G01H00-05-01755</t>
  </si>
  <si>
    <t>Centrifuga de 24 Tubos de 5-15ml ALREADY. Mod.DSC-302SD</t>
  </si>
  <si>
    <t>CD3-18060133</t>
  </si>
  <si>
    <t>DMR202G01H00-05-01759</t>
  </si>
  <si>
    <t>Mezclador de Tubos Tipo Vórtex BOEKEL</t>
  </si>
  <si>
    <t>DMR202G01H00-05-01773</t>
  </si>
  <si>
    <t>Pipeta Automática Socorex 10-100ul</t>
  </si>
  <si>
    <t>DMR202G01H00-01-05579</t>
  </si>
  <si>
    <t>Cronómetro Digital</t>
  </si>
  <si>
    <t>DMR202G01H00-05-01795</t>
  </si>
  <si>
    <t>DMR202G01H00-05-01801</t>
  </si>
  <si>
    <t>DMR202G01H00-05-01758</t>
  </si>
  <si>
    <t>Mezclador Hematológico de 15 Tubos ALREADY</t>
  </si>
  <si>
    <t xml:space="preserve">Santiago de los Caballeros </t>
  </si>
  <si>
    <t>LABORATORIO CD4 Centro Diagnóstico y Atención Primaria "Gurabo" Santiago</t>
  </si>
  <si>
    <t>DMR202G01H00-05-01818</t>
  </si>
  <si>
    <t>DMR202G01H00-05-01765</t>
  </si>
  <si>
    <t>Termómetro Calibrado de Temperatura.Capacidad: -30 a 30 grado celsio.FZ80-1</t>
  </si>
  <si>
    <t>DMR202G01H00-05-01766</t>
  </si>
  <si>
    <t>DMR202G01H00-05-01767</t>
  </si>
  <si>
    <t>Nevera FARCO para Reactivos 21.5" con Puerta de Cristal.</t>
  </si>
  <si>
    <t>DMR202G01H00-05-01774</t>
  </si>
  <si>
    <t>DMR202G01H00-05-01777</t>
  </si>
  <si>
    <t>Pipeta Automática Socorex 1-10ul</t>
  </si>
  <si>
    <t>DMR202G01H00-05-01780</t>
  </si>
  <si>
    <t>Pipeta Automática Finnpipette Thermo 1-10ul</t>
  </si>
  <si>
    <t>DMR202G01H00-05-01781</t>
  </si>
  <si>
    <t>DMR202G01H00-05-01786</t>
  </si>
  <si>
    <t>Soporte P/7 para Pipetas Socorex</t>
  </si>
  <si>
    <t>DMR202G01H00-01-05573</t>
  </si>
  <si>
    <t>Reloj de Laboratorio (TIMER) de 1 Hora</t>
  </si>
  <si>
    <t>DMR202G01H00-01-05574</t>
  </si>
  <si>
    <t>DMR202G01H00-01-05580</t>
  </si>
  <si>
    <t>DMR202G01H00-05-01789</t>
  </si>
  <si>
    <t>DMR202G01H00-05-01792</t>
  </si>
  <si>
    <t>DMR202G01H00-05-01798</t>
  </si>
  <si>
    <t>DMR202G01H00-02-01655</t>
  </si>
  <si>
    <t>Computador Dell Optiplex 7060. Incluye: Monitor Dell 19" E1916H, Mouse y Teclado.</t>
  </si>
  <si>
    <t>DMR202G01H00-05-01745</t>
  </si>
  <si>
    <t xml:space="preserve">   Cuarto Electrico        Centro Diagnóstico y Atención Primaria "Porvenir" SPM</t>
  </si>
  <si>
    <t>DMR202G01H00-05-01744</t>
  </si>
  <si>
    <t xml:space="preserve">  Cuarto Electrico        Centro Diagnóstico y Atención Primaria "Porvenir" SPM</t>
  </si>
  <si>
    <t>DMR202G01H00-05-01814</t>
  </si>
  <si>
    <t>DMR202G01H00-05-01815</t>
  </si>
  <si>
    <t>DMR202G01H00-05-01816</t>
  </si>
  <si>
    <t>DMR202G01H00-05-01754</t>
  </si>
  <si>
    <t>Centrifuga de 24 Tubos de 5-15ml ALREADY</t>
  </si>
  <si>
    <t>CD3-18060131</t>
  </si>
  <si>
    <t>DMR202G01H00-05-01757</t>
  </si>
  <si>
    <t>SM1-18110252</t>
  </si>
  <si>
    <t>DMR202G01H00-05-01760</t>
  </si>
  <si>
    <t>DMR202G01H00-05-01768</t>
  </si>
  <si>
    <t>DMR202G01H00-05-01771</t>
  </si>
  <si>
    <t>DMR202G01H00-05-01772</t>
  </si>
  <si>
    <t>DMR202G01H00-05-01776</t>
  </si>
  <si>
    <t>DMR202G01H00-05-01782</t>
  </si>
  <si>
    <t>DMR202G01H00-05-01785</t>
  </si>
  <si>
    <t>DMR202G01H00-01-05571</t>
  </si>
  <si>
    <t>DMR202G01H00-01-05572</t>
  </si>
  <si>
    <t>DMR202G01H00-01-05577</t>
  </si>
  <si>
    <t>DMR202G01H00-01-05578</t>
  </si>
  <si>
    <t>DMR202G01H00-05-01788</t>
  </si>
  <si>
    <t>DMR202G01H00-05-01791</t>
  </si>
  <si>
    <t>DMR202G01H00-05-01794</t>
  </si>
  <si>
    <t>DMR202G01H00-05-01797</t>
  </si>
  <si>
    <t>DMR202G01H00-02-01654</t>
  </si>
  <si>
    <t>CPU: 4355MR2 / MONITOR: GF30KP2</t>
  </si>
  <si>
    <t>Paquete de Microsoft Office 2019</t>
  </si>
  <si>
    <t>DMR202G01H00-02-01673</t>
  </si>
  <si>
    <t>Impresora Zebra ZD410 P/Código de Barras</t>
  </si>
  <si>
    <t>50J183002855</t>
  </si>
  <si>
    <t>DMR202G01H00-02-01685</t>
  </si>
  <si>
    <t>Scanner Honeywell MK9540 USB P/Lector Código de Barras</t>
  </si>
  <si>
    <t>2K17423467</t>
  </si>
  <si>
    <t>DMR202G01H00-02-01688</t>
  </si>
  <si>
    <t>Impresora HP LaserJet Pro MFP M227FDW</t>
  </si>
  <si>
    <t>VND3C06175</t>
  </si>
  <si>
    <t>DMR202G01H00-02-01660</t>
  </si>
  <si>
    <t>CPU: 43ZZLR2 / MONITOR: FM65RM2</t>
  </si>
  <si>
    <t>San Pedro de Macoris, Región V de Salud</t>
  </si>
  <si>
    <t>Servicio Regional V (Este)</t>
  </si>
  <si>
    <t>DMR202G01H00-05-01743</t>
  </si>
  <si>
    <t>LABORATORIO CLINICO Centro Sanitario Santo Domingo</t>
  </si>
  <si>
    <t>DMR202G01H00-05-01808</t>
  </si>
  <si>
    <t>Nevera Freezer para Muestras Revco Thermo</t>
  </si>
  <si>
    <t>DMR202G01H00-05-01749</t>
  </si>
  <si>
    <t>DMR202G01H00-05-01750</t>
  </si>
  <si>
    <t>DMR202G01H00-05-01753</t>
  </si>
  <si>
    <t>DMR202G01H00-05-01817</t>
  </si>
  <si>
    <t>DMR202G01H00-05-01819</t>
  </si>
  <si>
    <t>DMR202G01H00-05-01761</t>
  </si>
  <si>
    <t>Autoclave Eléctrico de 48 Litros de Piso Fanem</t>
  </si>
  <si>
    <t>DMR202G01H00-05-01762</t>
  </si>
  <si>
    <t>DMR202G01H00-05-01763</t>
  </si>
  <si>
    <t>DMR202G01H00-05-01820</t>
  </si>
  <si>
    <t>Falta</t>
  </si>
  <si>
    <t>DMR202G01H00-05-01769</t>
  </si>
  <si>
    <t>DMR202G01H00-05-01770</t>
  </si>
  <si>
    <t>DMR202G01H00-05-01775</t>
  </si>
  <si>
    <t>DMR202G01H00-05-01778</t>
  </si>
  <si>
    <t>DMR202G01H00-05-01779</t>
  </si>
  <si>
    <t>DMR202G01H00-05-01783</t>
  </si>
  <si>
    <t>DMR202G01H00-05-01784</t>
  </si>
  <si>
    <t>DMR202G01H00-01-05575</t>
  </si>
  <si>
    <t>DMR202G01H00-05-01787</t>
  </si>
  <si>
    <t>DMR202G01H00-05-01790</t>
  </si>
  <si>
    <t>DMR202G01H00-05-01793</t>
  </si>
  <si>
    <t>DMR202G01H00-05-01796</t>
  </si>
  <si>
    <t>DMR202G01H00-02-01653</t>
  </si>
  <si>
    <t>CPU: 42W1MR2 / MONITOR: 2250KP2</t>
  </si>
  <si>
    <t>DMR202G01H00-02-01662</t>
  </si>
  <si>
    <t>DMR202G01H00-02-01672</t>
  </si>
  <si>
    <t>50J183002819</t>
  </si>
  <si>
    <t>DMR202G01H00-02-01675</t>
  </si>
  <si>
    <t>50J183002965</t>
  </si>
  <si>
    <t>DMR202G01H00-02-01682</t>
  </si>
  <si>
    <t>2K17412796</t>
  </si>
  <si>
    <t>Servicio Regional 0 (Sto.Dgo.)</t>
  </si>
  <si>
    <t>DMR202G01H00-02-01683</t>
  </si>
  <si>
    <t>2K17430374</t>
  </si>
  <si>
    <t>DMR202G01H00-02-01684</t>
  </si>
  <si>
    <t>2K17423985</t>
  </si>
  <si>
    <t>DMR202G01H00-02-01687</t>
  </si>
  <si>
    <t>VND3C06172</t>
  </si>
  <si>
    <t>DMR202G01H00-02-01676</t>
  </si>
  <si>
    <t>50J183002983</t>
  </si>
  <si>
    <t>Santo Domingo, D.N. Región 0 de Salud</t>
  </si>
  <si>
    <t>DMR202G01H00-02-01691</t>
  </si>
  <si>
    <t>VND3C31738</t>
  </si>
  <si>
    <t>DMR202G01H00-02-01674</t>
  </si>
  <si>
    <t>DMR202G01H00-02-01656</t>
  </si>
  <si>
    <t>Santiago de los Caballeros, Región II de Salud</t>
  </si>
  <si>
    <t>Servicio Regional II (Santiago)</t>
  </si>
  <si>
    <t>DMR202G01H00-02-01657</t>
  </si>
  <si>
    <t>DMR202G01H00-02-01658</t>
  </si>
  <si>
    <t>DMR202G01H00-02-01679</t>
  </si>
  <si>
    <t>DMR202G01H00-02-01680</t>
  </si>
  <si>
    <t>DMR202G01H00-02-01681</t>
  </si>
  <si>
    <t>DMR202G01H00-02-01692</t>
  </si>
  <si>
    <t>DMR202G01H00-02-01661</t>
  </si>
  <si>
    <t>DMR202G01H00-02-01677</t>
  </si>
  <si>
    <t>DMR202G01H00-02-01678</t>
  </si>
  <si>
    <t>DMR202G01H00-02-01690</t>
  </si>
  <si>
    <t>DMR202G01H00-05-01737</t>
  </si>
  <si>
    <t>Silla para Toma de Muestra</t>
  </si>
  <si>
    <t>DMR202G01H00-05-01738</t>
  </si>
  <si>
    <t>DMR202G01H00-05-01751</t>
  </si>
  <si>
    <t>DMR202G01H00-05-01752</t>
  </si>
  <si>
    <t>DMR202G01H00-05-01809</t>
  </si>
  <si>
    <t>DMR202G01H00-05-01810</t>
  </si>
  <si>
    <t>DMR202G01H00-05-01756</t>
  </si>
  <si>
    <t>DMR202G01H00-01-05569</t>
  </si>
  <si>
    <t>DMR202G01H00-01-05570</t>
  </si>
  <si>
    <t>DMR202G01H00-01-05576</t>
  </si>
  <si>
    <t>DMR202G01H00-05-01799</t>
  </si>
  <si>
    <t>Ck. 26096</t>
  </si>
  <si>
    <t>DMR202G01H00-05-01822</t>
  </si>
  <si>
    <t>BIONUCLEAR, S.A.</t>
  </si>
  <si>
    <t>DMR202G01H00-05-01823</t>
  </si>
  <si>
    <t>DMR202G01H00-05-01821</t>
  </si>
  <si>
    <t>Ck. 26612</t>
  </si>
  <si>
    <t>DMR202G01H00-02-01700</t>
  </si>
  <si>
    <t>Licencia de Enrolado. Incluye 7 Unidades de BIO PLUGIN PC LICENSE.                   (Cantidad: 8,000 Licencias)</t>
  </si>
  <si>
    <t>Juan Jose Escaño (Enc. De Activos SNS)</t>
  </si>
  <si>
    <t>SERVICIO NACIONAL DE SALUD (SNS)</t>
  </si>
  <si>
    <t>SEDECORP</t>
  </si>
  <si>
    <t>DMR202G01H00-02-01707</t>
  </si>
  <si>
    <t>Kit de Desarrollo Biométrico Avanzado M2SYS</t>
  </si>
  <si>
    <t>M2SEH5419060191</t>
  </si>
  <si>
    <t>DMR202G01H00-02-01708</t>
  </si>
  <si>
    <t>M2SEH5419060193</t>
  </si>
  <si>
    <t>DMR202G01H00-02-01709</t>
  </si>
  <si>
    <t>M2SEH5419060200</t>
  </si>
  <si>
    <t>DMR202G01H00-02-01710</t>
  </si>
  <si>
    <t>M2SEH5419060192</t>
  </si>
  <si>
    <t>DMR202G01H00-02-01711</t>
  </si>
  <si>
    <t>M2SEH5419060196</t>
  </si>
  <si>
    <t>DMR202G01H00-02-01712</t>
  </si>
  <si>
    <t>M2SEH5419060198</t>
  </si>
  <si>
    <t>DMR202G01H00-02-01701</t>
  </si>
  <si>
    <t>Impresora Térmica Epson TM-T88V (3599)</t>
  </si>
  <si>
    <t>X6TT002361</t>
  </si>
  <si>
    <t>Enc. De Activos SNS)</t>
  </si>
  <si>
    <t>DMR202G01H00-02-01702</t>
  </si>
  <si>
    <t>MXKF881392</t>
  </si>
  <si>
    <t>DMR202G01H00-02-01703</t>
  </si>
  <si>
    <t>MXKF886032</t>
  </si>
  <si>
    <t>DMR202G01H00-02-01704</t>
  </si>
  <si>
    <t>MXKF886026</t>
  </si>
  <si>
    <t>DMR202G01H00-02-01705</t>
  </si>
  <si>
    <t>MXKF886022</t>
  </si>
  <si>
    <t>DMR202G01H00-02-01706</t>
  </si>
  <si>
    <t>MXKF886023</t>
  </si>
  <si>
    <t>Ck. 26691</t>
  </si>
  <si>
    <t>DMR202G01H00-02-01729</t>
  </si>
  <si>
    <t>Laptop Dell Latitude 5490. Incluye: Bulto y Licencia de Office 2019.</t>
  </si>
  <si>
    <t>Laptop: 6W32NV2   Monitor: CN-0R16JC-72872-340-F54M</t>
  </si>
  <si>
    <t>Gerencia Técnica      Laynier Mieses</t>
  </si>
  <si>
    <t>PC OUTLET STORE, SRL.</t>
  </si>
  <si>
    <t>DMR202G01H00-02-01730</t>
  </si>
  <si>
    <t>Laptop: 2Z71NV2         Monitor: 5N7RCW2</t>
  </si>
  <si>
    <t>Gerencia Técnica  Candida Melendez</t>
  </si>
  <si>
    <t>Ck. 26792</t>
  </si>
  <si>
    <t>DMR202G01H00-02-01713</t>
  </si>
  <si>
    <t>Computador Dell Optiplex 3050. Incluye: Monitor y Mouse.</t>
  </si>
  <si>
    <t>CPU: F42F9T2   MONITOR: BQ68HS2</t>
  </si>
  <si>
    <t>DMR202G01H00-02-01714</t>
  </si>
  <si>
    <t>CPU: GP5F9T2  MONITOR: 2S68HS2</t>
  </si>
  <si>
    <t>DMR202G01H00-02-01715</t>
  </si>
  <si>
    <t>CPU: GPQC9T2   MONITOR: G4274S2</t>
  </si>
  <si>
    <t>DMR202G01H00-02-01716</t>
  </si>
  <si>
    <t>CPU: GP5C9T2  MONITOR: GR68HS2</t>
  </si>
  <si>
    <t>DMR202G01H00-02-01717</t>
  </si>
  <si>
    <t>CPU: F45F9T2  MONITOR: 3JTPK62</t>
  </si>
  <si>
    <t>DMR202G01H00-02-01718</t>
  </si>
  <si>
    <t>CPU: F4BD9T2  MONITOR: 7S68H52</t>
  </si>
  <si>
    <t>DMR202G01H00-02-01719</t>
  </si>
  <si>
    <t>CPU: 7TZ18N2  MONITOR: FQ68HS2</t>
  </si>
  <si>
    <t>DMR202G01H00-02-01720</t>
  </si>
  <si>
    <t>CPU: F46D9T2 MONITOR: 95274S2</t>
  </si>
  <si>
    <t>DMR202G01H00-02-01721</t>
  </si>
  <si>
    <t>UPS FORZA 500VA</t>
  </si>
  <si>
    <t>170712510093</t>
  </si>
  <si>
    <t>DMR202G01H00-02-01722</t>
  </si>
  <si>
    <t>180612504090</t>
  </si>
  <si>
    <t>180612504091</t>
  </si>
  <si>
    <t>DMR202G01H00-02-01724</t>
  </si>
  <si>
    <t>180612504092</t>
  </si>
  <si>
    <t>DMR202G01H00-02-01725</t>
  </si>
  <si>
    <t>190412500553</t>
  </si>
  <si>
    <t>DMR202G01H00-02-01726</t>
  </si>
  <si>
    <t>190412500554</t>
  </si>
  <si>
    <t>DMR202G01H00-02-01727</t>
  </si>
  <si>
    <t>190412500555</t>
  </si>
  <si>
    <t>DMR202G01H00-02-01728</t>
  </si>
  <si>
    <t>190412500556</t>
  </si>
  <si>
    <t>LABORATORIO CLINICO Hospital Luis L. Bogaert "Mao - Valverde "</t>
  </si>
  <si>
    <t>Ck. 27001</t>
  </si>
  <si>
    <t>DMR202G01H00-02-01741</t>
  </si>
  <si>
    <t>Impresora Zebra ZD410 Térmica. P/Código de Barras</t>
  </si>
  <si>
    <t>50J193303586</t>
  </si>
  <si>
    <t>DMR202G01H00-02-01742</t>
  </si>
  <si>
    <t>2K19410922</t>
  </si>
  <si>
    <t>DMR202G01H00-02-01738</t>
  </si>
  <si>
    <t>Computador Dell Optiplex 7070. Incluye: Monitor Dell 19" y Mouse.</t>
  </si>
  <si>
    <t>DMR202G01H00-02-01740</t>
  </si>
  <si>
    <t>Ck. 27096</t>
  </si>
  <si>
    <t>DMR202G01H00-01-05643</t>
  </si>
  <si>
    <t>Cronómetro Digital EA</t>
  </si>
  <si>
    <t>DMR202G01H00-01-05644</t>
  </si>
  <si>
    <t>DMR202G01H00-05-01840</t>
  </si>
  <si>
    <t>Autoclave P/Laboratorio Tipo Olla 24L All American</t>
  </si>
  <si>
    <t>F0003201</t>
  </si>
  <si>
    <t>DMR202G01H00-05-01841</t>
  </si>
  <si>
    <t>Votarex Mezclador 0-3000 RPM Thermo</t>
  </si>
  <si>
    <t>I8KT17020</t>
  </si>
  <si>
    <t>DMR202G01H00-05-01842</t>
  </si>
  <si>
    <t>I8KT17024</t>
  </si>
  <si>
    <t>DMR202G01H00-05-01843</t>
  </si>
  <si>
    <t>DMR202G01H00-05-01844</t>
  </si>
  <si>
    <t>DMR202G01H00-05-01845</t>
  </si>
  <si>
    <t>DMR202G01H00-05-01848</t>
  </si>
  <si>
    <t>Pipeta Automática Finnpipette F3 10-100ul Thermo</t>
  </si>
  <si>
    <t>DMR202G01H00-05-01849</t>
  </si>
  <si>
    <t>DMR202G01H00-05-01851</t>
  </si>
  <si>
    <t>DMR202G01H00-05-01853</t>
  </si>
  <si>
    <t>Nevera FARCO para Reactivos 21.5" con 1PTA de Cristal.</t>
  </si>
  <si>
    <t>DMR202G01H00-05-01850</t>
  </si>
  <si>
    <t>Silla P/Extracción de Sangre CG Gris "EA"</t>
  </si>
  <si>
    <t>DMR202G01H00-05-01846</t>
  </si>
  <si>
    <t>DMR202G01H00-05-01847</t>
  </si>
  <si>
    <t>DMR202G01H00-05-01852</t>
  </si>
  <si>
    <t>Ck. 27128 Itbis Caja Chica</t>
  </si>
  <si>
    <t>DMR202G01H00-05-01854</t>
  </si>
  <si>
    <t>Ref. H1019</t>
  </si>
  <si>
    <t>BIO-NOVA, SRL.</t>
  </si>
  <si>
    <t>DMR202G01H00-05-01855</t>
  </si>
  <si>
    <t>Ref. E1015</t>
  </si>
  <si>
    <t>Ck. 27136</t>
  </si>
  <si>
    <t>DMR202G01H00-05-01856</t>
  </si>
  <si>
    <t>Centrifuga Digital de 24 Tubo. Mod. DSC-1524SD-2</t>
  </si>
  <si>
    <t xml:space="preserve">CD3-19110207 </t>
  </si>
  <si>
    <t>DMR202G01H00-05-01857</t>
  </si>
  <si>
    <t>CD3-19110271</t>
  </si>
  <si>
    <t>DMR202G01H00-05-01858</t>
  </si>
  <si>
    <t>Pipeta Finnpipette F3 1-10ML Thermo Scientific. Mod. 4640070</t>
  </si>
  <si>
    <t xml:space="preserve">Lote: PH52691 </t>
  </si>
  <si>
    <t>DMR202G01H00-05-01859</t>
  </si>
  <si>
    <t>Lote: PH52701</t>
  </si>
  <si>
    <t>Ck.02712</t>
  </si>
  <si>
    <t>FM05-01860</t>
  </si>
  <si>
    <t xml:space="preserve">Camion foton,modelo  AUMARK S, año 2022  Color:blanco </t>
  </si>
  <si>
    <t>Chassis: LVBV4JBB8NY001857</t>
  </si>
  <si>
    <t>CATHAY GROUP, SRL</t>
  </si>
  <si>
    <t>Ck.02713</t>
  </si>
  <si>
    <t>FM05-01861</t>
  </si>
  <si>
    <t>Camion foton,modelo  AUMARK S, año 2022  Color:blanco.</t>
  </si>
  <si>
    <t>Chassis: LVBV4JBB8NY001858</t>
  </si>
  <si>
    <t>Transf. 47-22</t>
  </si>
  <si>
    <t>FM05-01953</t>
  </si>
  <si>
    <t>Laptop Dell Latitude 15-7520/Disco Duro 512GB</t>
  </si>
  <si>
    <t>JFD92J3</t>
  </si>
  <si>
    <t xml:space="preserve">Santiago de Aza     Gerencia Tecnica </t>
  </si>
  <si>
    <t>FM05-01954</t>
  </si>
  <si>
    <t>B1BB2J3</t>
  </si>
  <si>
    <t xml:space="preserve">Robert Nina   Gerencia Tecnica </t>
  </si>
  <si>
    <t>FM05-01955</t>
  </si>
  <si>
    <t>Impresora Multifuncional a Color M578DN</t>
  </si>
  <si>
    <t>MXBC16II32</t>
  </si>
  <si>
    <t xml:space="preserve">Dirección Ejecutiva    </t>
  </si>
  <si>
    <t>FM05-01956</t>
  </si>
  <si>
    <t>MXBC16II2M</t>
  </si>
  <si>
    <t xml:space="preserve">DTIC </t>
  </si>
  <si>
    <t>FM05-01957</t>
  </si>
  <si>
    <t>Impresora Multifuncional HP a Color MFP M480</t>
  </si>
  <si>
    <t>CNCRPBM4L7</t>
  </si>
  <si>
    <t xml:space="preserve">Miriam Suero  Administractivo-Financiero </t>
  </si>
  <si>
    <t>FM05-01958</t>
  </si>
  <si>
    <t>CNCRPBM4TT</t>
  </si>
  <si>
    <t xml:space="preserve">Rosa Sanchez       Gerencia Tecnica </t>
  </si>
  <si>
    <t>FM05-01959</t>
  </si>
  <si>
    <t>CNCRPBM4VY</t>
  </si>
  <si>
    <t xml:space="preserve">Melvin Brioso         Gerencia Tecnica </t>
  </si>
  <si>
    <t>FM05-01960</t>
  </si>
  <si>
    <t>CNCRPBM4SZ</t>
  </si>
  <si>
    <t xml:space="preserve">Auditores Financiero </t>
  </si>
  <si>
    <t>FM05-01961</t>
  </si>
  <si>
    <t>Lapto Dell Latitude 7520</t>
  </si>
  <si>
    <t>9J36CK3</t>
  </si>
  <si>
    <t xml:space="preserve">Jose Santana        Gerencia Tecnica </t>
  </si>
  <si>
    <t>FM05-01962</t>
  </si>
  <si>
    <t>1696CK3</t>
  </si>
  <si>
    <t xml:space="preserve">Cristian Ramirez            Gerencia Tecnica </t>
  </si>
  <si>
    <t>Transf. 60-22</t>
  </si>
  <si>
    <t>FM05-01963</t>
  </si>
  <si>
    <t>1R36CK3</t>
  </si>
  <si>
    <t xml:space="preserve">Miriam Baez de Suero  Administractivo-Financiero </t>
  </si>
  <si>
    <t>CLICTECK S.R.L</t>
  </si>
  <si>
    <t>FM05-01964</t>
  </si>
  <si>
    <t>CP36CK3</t>
  </si>
  <si>
    <t>Erick Laura Salcedo Monitores Financiero</t>
  </si>
  <si>
    <t>FM05-01965</t>
  </si>
  <si>
    <t>2RY6CK3</t>
  </si>
  <si>
    <t xml:space="preserve">Maria Jacqueline  Monititores Financiero </t>
  </si>
  <si>
    <t>FM05-01966</t>
  </si>
  <si>
    <t>2796CK3</t>
  </si>
  <si>
    <t xml:space="preserve">Maria Nurys Amador     Gerencia Tecnica </t>
  </si>
  <si>
    <t>FM05-01967</t>
  </si>
  <si>
    <t>7M36CK3</t>
  </si>
  <si>
    <t>Clara Elena Florentino Monitores Financiero</t>
  </si>
  <si>
    <t>FM05-01968</t>
  </si>
  <si>
    <t>C196CK3</t>
  </si>
  <si>
    <t xml:space="preserve">Leticia Coss            Gerencia Tecnica </t>
  </si>
  <si>
    <t>FM05-01969</t>
  </si>
  <si>
    <t>8496CK3</t>
  </si>
  <si>
    <t>Licelotte Carvajal     Monitores Financiero</t>
  </si>
  <si>
    <t>FM05-01970</t>
  </si>
  <si>
    <t>57Y5CK3</t>
  </si>
  <si>
    <t xml:space="preserve">Joaquin Isabel            Monitores Financiero </t>
  </si>
  <si>
    <t>FM05-01971</t>
  </si>
  <si>
    <t>3J36CK3</t>
  </si>
  <si>
    <t xml:space="preserve">Salvador Ernesto Romero Garcia                  Monitores Financiero </t>
  </si>
  <si>
    <t>CK.27748</t>
  </si>
  <si>
    <t>FM05-01972</t>
  </si>
  <si>
    <t xml:space="preserve">Computadora Dell Optiplex 7090,Modelo D15S incluye Mause teclado y Monitor </t>
  </si>
  <si>
    <t xml:space="preserve"> H0DLTH3</t>
  </si>
  <si>
    <t xml:space="preserve">Yohany M. Arias Castro    Directora de Laboratorio Clinico e Imágenes </t>
  </si>
  <si>
    <t>FM05-01973</t>
  </si>
  <si>
    <t xml:space="preserve">Computadora Dell Optiplex 7090,incluye Mause y teclado + Monitor </t>
  </si>
  <si>
    <t>H00VNK3</t>
  </si>
  <si>
    <t>FM05-01974</t>
  </si>
  <si>
    <t>G00VNK3</t>
  </si>
  <si>
    <t>FM05-01975</t>
  </si>
  <si>
    <t>8YZTNK3</t>
  </si>
  <si>
    <t>FM05-01976</t>
  </si>
  <si>
    <t>BQ8DXP3</t>
  </si>
  <si>
    <t>FM05-01977</t>
  </si>
  <si>
    <t>1N8DXP3</t>
  </si>
  <si>
    <t>FM05-01978</t>
  </si>
  <si>
    <t>CM8DXP3</t>
  </si>
  <si>
    <t>FM05-01979</t>
  </si>
  <si>
    <t>CYZTNK3</t>
  </si>
  <si>
    <t>FM05-01980</t>
  </si>
  <si>
    <t>4HTCXP3</t>
  </si>
  <si>
    <t>FM05-01981</t>
  </si>
  <si>
    <t>DJMH2N3</t>
  </si>
  <si>
    <t>FM05-01982</t>
  </si>
  <si>
    <t>D1LLVD3</t>
  </si>
  <si>
    <t>FM05-01983</t>
  </si>
  <si>
    <t>110VNK3</t>
  </si>
  <si>
    <t>FM05-01984</t>
  </si>
  <si>
    <t>5Q8DXP3</t>
  </si>
  <si>
    <t>FM05-01985</t>
  </si>
  <si>
    <t>8ZZTNK3</t>
  </si>
  <si>
    <t>FM05-01986</t>
  </si>
  <si>
    <t>5CX9XP3</t>
  </si>
  <si>
    <t>FM05-01987</t>
  </si>
  <si>
    <t>HZZTNK3</t>
  </si>
  <si>
    <t>FM05-01988</t>
  </si>
  <si>
    <t>6CX9XP3</t>
  </si>
  <si>
    <t>FM05-01989</t>
  </si>
  <si>
    <t>GP8DXP3</t>
  </si>
  <si>
    <t>FM05-01990</t>
  </si>
  <si>
    <t>BTT4FF3</t>
  </si>
  <si>
    <t>FM05-01991</t>
  </si>
  <si>
    <t>UPS APC 6000VA Modelo-BE600M1 120V</t>
  </si>
  <si>
    <t>S0B2214N03492</t>
  </si>
  <si>
    <t>FM05-01992</t>
  </si>
  <si>
    <t>S0B2214N03814</t>
  </si>
  <si>
    <t>FM05-01993</t>
  </si>
  <si>
    <t>S0B2214N03762</t>
  </si>
  <si>
    <t>FM05-01994</t>
  </si>
  <si>
    <t>S0B2214N03832</t>
  </si>
  <si>
    <t>FM05-01995</t>
  </si>
  <si>
    <t>S0B2214N038827</t>
  </si>
  <si>
    <t>FM05-01996</t>
  </si>
  <si>
    <t>S0B2214N03757</t>
  </si>
  <si>
    <t>FM05-01997</t>
  </si>
  <si>
    <t>S0B2214N03835</t>
  </si>
  <si>
    <t>FM05-01998</t>
  </si>
  <si>
    <t>S0B2214N03487</t>
  </si>
  <si>
    <t>FM05-01999</t>
  </si>
  <si>
    <t>S0B2214N03839</t>
  </si>
  <si>
    <t>FM05-02000</t>
  </si>
  <si>
    <t>S0B2214N03752</t>
  </si>
  <si>
    <t>FM05-02001</t>
  </si>
  <si>
    <t>S0B2214N03520</t>
  </si>
  <si>
    <t>FM05-02002</t>
  </si>
  <si>
    <t>S0B2214N03838</t>
  </si>
  <si>
    <t>FM05-02003</t>
  </si>
  <si>
    <t>S0B2214N03756</t>
  </si>
  <si>
    <t>FM05-02004</t>
  </si>
  <si>
    <t>S0B2214N03826</t>
  </si>
  <si>
    <t>FM05-02005</t>
  </si>
  <si>
    <t>S0B2214N03330</t>
  </si>
  <si>
    <t>FM05-02006</t>
  </si>
  <si>
    <t>S0B2214N03525</t>
  </si>
  <si>
    <t>FM05-02047</t>
  </si>
  <si>
    <t>S0B2214N3783</t>
  </si>
  <si>
    <t>FM05-02048</t>
  </si>
  <si>
    <t>S0B2214N03829</t>
  </si>
  <si>
    <t>FM05-02049</t>
  </si>
  <si>
    <t>S0B2214N04517</t>
  </si>
  <si>
    <t>CK.27755</t>
  </si>
  <si>
    <t>FM05-02007</t>
  </si>
  <si>
    <t>Impresora Epson EcoTank L3210</t>
  </si>
  <si>
    <t>XAGB311256</t>
  </si>
  <si>
    <t>FM05-02008</t>
  </si>
  <si>
    <t>XAGB311132</t>
  </si>
  <si>
    <t>FM05-02009</t>
  </si>
  <si>
    <t>XAGB311220</t>
  </si>
  <si>
    <t>FM05-02010</t>
  </si>
  <si>
    <t>XAGB311227</t>
  </si>
  <si>
    <t>FM05-02011</t>
  </si>
  <si>
    <t>XAGB311223</t>
  </si>
  <si>
    <t>FM05-02012</t>
  </si>
  <si>
    <t>XAGB311212</t>
  </si>
  <si>
    <t>FM05-02013</t>
  </si>
  <si>
    <t>XAGB11238</t>
  </si>
  <si>
    <t>FM05-02014</t>
  </si>
  <si>
    <t>XAGB311226</t>
  </si>
  <si>
    <t>FM05-02015</t>
  </si>
  <si>
    <t>XAGB311218</t>
  </si>
  <si>
    <t>FM05-02016</t>
  </si>
  <si>
    <t>XAGB311243</t>
  </si>
  <si>
    <t>FM05-02017</t>
  </si>
  <si>
    <t>XAGB311235</t>
  </si>
  <si>
    <t>FM05-02018</t>
  </si>
  <si>
    <t>XAGB311236</t>
  </si>
  <si>
    <t>FM05-02019</t>
  </si>
  <si>
    <t>XAGB311252</t>
  </si>
  <si>
    <t>FM05-02020</t>
  </si>
  <si>
    <t>XAGB311222</t>
  </si>
  <si>
    <t>FM05-02021</t>
  </si>
  <si>
    <t>XAGB311231</t>
  </si>
  <si>
    <t>FM05-02022</t>
  </si>
  <si>
    <t>XAGB311240</t>
  </si>
  <si>
    <t>FM05-02023</t>
  </si>
  <si>
    <t>XAGB311216</t>
  </si>
  <si>
    <t>FM05-02024</t>
  </si>
  <si>
    <t>XAGB311234</t>
  </si>
  <si>
    <t>FM05-02025</t>
  </si>
  <si>
    <t>XAGB311233</t>
  </si>
  <si>
    <t>FM05-02027</t>
  </si>
  <si>
    <t>TABLET SAMSUNG  GALAXY A7 (Modelo SM-T505N)</t>
  </si>
  <si>
    <t>R9TR606515J</t>
  </si>
  <si>
    <t>FM05-02028</t>
  </si>
  <si>
    <t>R9TR60669LJ</t>
  </si>
  <si>
    <t>FM05-02029</t>
  </si>
  <si>
    <t>R9TR60665ZJ</t>
  </si>
  <si>
    <t>FM05-02030</t>
  </si>
  <si>
    <t>R9TR6064WQJ</t>
  </si>
  <si>
    <t>FM05-02031</t>
  </si>
  <si>
    <t>R9TR606618J</t>
  </si>
  <si>
    <t>FM05-02032</t>
  </si>
  <si>
    <t>R9TR606619J</t>
  </si>
  <si>
    <t>FM05-02033</t>
  </si>
  <si>
    <t>R9TR60669CJ</t>
  </si>
  <si>
    <t>FM05-02034</t>
  </si>
  <si>
    <t>R9TR60668NJ</t>
  </si>
  <si>
    <t>FM05-02035</t>
  </si>
  <si>
    <t>R9TR6064WFJ</t>
  </si>
  <si>
    <t>FM05-02036</t>
  </si>
  <si>
    <t>R9TR606534J</t>
  </si>
  <si>
    <t>FM05-02037</t>
  </si>
  <si>
    <t>R9TR60660ZJ</t>
  </si>
  <si>
    <t>FM05-02038</t>
  </si>
  <si>
    <t>R9TR6066LCJ</t>
  </si>
  <si>
    <t>FM05-02039</t>
  </si>
  <si>
    <t>R9TR60663KJ</t>
  </si>
  <si>
    <t>FM05-02040</t>
  </si>
  <si>
    <t>R9TR60645J</t>
  </si>
  <si>
    <t>FM05-02041</t>
  </si>
  <si>
    <t>R9TR6066LGJ</t>
  </si>
  <si>
    <t>FM05-02042</t>
  </si>
  <si>
    <t>R9TR6066KBJ</t>
  </si>
  <si>
    <t>FM05-02043</t>
  </si>
  <si>
    <t>R9TR6066L2J</t>
  </si>
  <si>
    <t>FM05-02044</t>
  </si>
  <si>
    <t>R9TR6066KWJ</t>
  </si>
  <si>
    <t>FM05-02045</t>
  </si>
  <si>
    <t>R9TR6065TNJ</t>
  </si>
  <si>
    <t>FM05-02046</t>
  </si>
  <si>
    <t>R9TR60663QJ</t>
  </si>
  <si>
    <t>CK.27758</t>
  </si>
  <si>
    <t>FM-01</t>
  </si>
  <si>
    <t>Motocicleta XR125L -Blanco, Año 2022</t>
  </si>
  <si>
    <t>Chasis LTMJD290N5500112</t>
  </si>
  <si>
    <t>FM-02</t>
  </si>
  <si>
    <t>Chasis LTMJD290N5500071</t>
  </si>
  <si>
    <t>FM-03</t>
  </si>
  <si>
    <t>Chasis LTMJD290N5500086</t>
  </si>
  <si>
    <t>FM-04</t>
  </si>
  <si>
    <t>Chasis LTMJD290N5500078</t>
  </si>
  <si>
    <t>FM-05</t>
  </si>
  <si>
    <t>Chasis LTMJD290N5500073</t>
  </si>
  <si>
    <t>FM-06</t>
  </si>
  <si>
    <t>Chasis LTMJD290N5500087</t>
  </si>
  <si>
    <t>FM-07</t>
  </si>
  <si>
    <t>Chasis LTMJD290N5500079</t>
  </si>
  <si>
    <t>FM-08</t>
  </si>
  <si>
    <t>Chasis LTMJD290N5500082</t>
  </si>
  <si>
    <t>FM-09</t>
  </si>
  <si>
    <t>Chasis LTMJD290N5500088</t>
  </si>
  <si>
    <t>FM-10</t>
  </si>
  <si>
    <t>Chasis LTMJD290N5500091</t>
  </si>
  <si>
    <t>CK.27760</t>
  </si>
  <si>
    <t>FM05-02051</t>
  </si>
  <si>
    <t>Impresora Epson EcoTank L3210.Color Negro</t>
  </si>
  <si>
    <t>XAGB292046</t>
  </si>
  <si>
    <t>FM05-02052</t>
  </si>
  <si>
    <t>XAGB292060</t>
  </si>
  <si>
    <t>FM05-02053</t>
  </si>
  <si>
    <t>XAGB292067</t>
  </si>
  <si>
    <t>FM05-02054</t>
  </si>
  <si>
    <t>XAGB292047</t>
  </si>
  <si>
    <t>FM05-02055</t>
  </si>
  <si>
    <t>XAGB292055</t>
  </si>
  <si>
    <t>FM05-02056</t>
  </si>
  <si>
    <t>XAGB292054</t>
  </si>
  <si>
    <t>FM05-02057</t>
  </si>
  <si>
    <t>XAGB292059</t>
  </si>
  <si>
    <t>FM05-02058</t>
  </si>
  <si>
    <t>XAGB292066</t>
  </si>
  <si>
    <t>FM05-02059</t>
  </si>
  <si>
    <t>XAGB292057</t>
  </si>
  <si>
    <t>FM05-02060</t>
  </si>
  <si>
    <t>XAGB292069</t>
  </si>
  <si>
    <t>FM05-02061</t>
  </si>
  <si>
    <t>UPS APC Modelo BE600M1</t>
  </si>
  <si>
    <t>OB2216N01605</t>
  </si>
  <si>
    <t>FM05-02062</t>
  </si>
  <si>
    <t>OB2216N01607</t>
  </si>
  <si>
    <t>FM05-02063</t>
  </si>
  <si>
    <t>OB2216N016248</t>
  </si>
  <si>
    <t>FM05-02064</t>
  </si>
  <si>
    <t>OB2216N07814</t>
  </si>
  <si>
    <t>FM.05-02065</t>
  </si>
  <si>
    <t>OB2216N01564</t>
  </si>
  <si>
    <t>FM05-02066</t>
  </si>
  <si>
    <t>OB2216N01557</t>
  </si>
  <si>
    <t>FM05-02067</t>
  </si>
  <si>
    <t>OB2216N01326</t>
  </si>
  <si>
    <t>FM05-02068</t>
  </si>
  <si>
    <t>OB2216N01576</t>
  </si>
  <si>
    <t>FM05-02069</t>
  </si>
  <si>
    <t>OB2216N01740</t>
  </si>
  <si>
    <t>FM05-02070</t>
  </si>
  <si>
    <t>OB2216N01525</t>
  </si>
  <si>
    <t>FM05-02071</t>
  </si>
  <si>
    <t>CNGBPK3</t>
  </si>
  <si>
    <t>FM05-02072</t>
  </si>
  <si>
    <t>CNGBPK4</t>
  </si>
  <si>
    <t>FM05-02073</t>
  </si>
  <si>
    <t>CNGBPK5</t>
  </si>
  <si>
    <t>FM05-02074</t>
  </si>
  <si>
    <t>CNGBPK6</t>
  </si>
  <si>
    <t>FM05-02075</t>
  </si>
  <si>
    <t>CNGBPK7</t>
  </si>
  <si>
    <t>FM05-02076</t>
  </si>
  <si>
    <t>CNGBPK8</t>
  </si>
  <si>
    <t>FM05-02077</t>
  </si>
  <si>
    <t>CNGBPK9</t>
  </si>
  <si>
    <t>FM05-02078</t>
  </si>
  <si>
    <t>CNGBPK10</t>
  </si>
  <si>
    <t>FM05-02079</t>
  </si>
  <si>
    <t>CNGBPK11</t>
  </si>
  <si>
    <t>FM05-02080</t>
  </si>
  <si>
    <t>CNGBPK12</t>
  </si>
  <si>
    <t>CK.27767</t>
  </si>
  <si>
    <t>FM05-02091</t>
  </si>
  <si>
    <t xml:space="preserve">Lector Codigo de Barras 2connet </t>
  </si>
  <si>
    <t>SOLUMAN INDUSTRIAL, EIRL</t>
  </si>
  <si>
    <t>FM05-02092</t>
  </si>
  <si>
    <t>FM05-02093</t>
  </si>
  <si>
    <t>FM05-02094</t>
  </si>
  <si>
    <t>FM05-02095</t>
  </si>
  <si>
    <t>FM05-02096</t>
  </si>
  <si>
    <t xml:space="preserve"> </t>
  </si>
  <si>
    <t>FM05-02097</t>
  </si>
  <si>
    <t>FM05-02098</t>
  </si>
  <si>
    <t>FM05-02099</t>
  </si>
  <si>
    <t>FM05-02100</t>
  </si>
  <si>
    <t>FM05-02101</t>
  </si>
  <si>
    <t>FM05-02102</t>
  </si>
  <si>
    <t>FM05-02103</t>
  </si>
  <si>
    <t>FM05-02104</t>
  </si>
  <si>
    <t>FM05-02105</t>
  </si>
  <si>
    <t>FM05-02106</t>
  </si>
  <si>
    <t>FM05-02107</t>
  </si>
  <si>
    <t>FM05-02108</t>
  </si>
  <si>
    <t>FM05-02109</t>
  </si>
  <si>
    <t>FM05-02110</t>
  </si>
  <si>
    <t>FM05-02111</t>
  </si>
  <si>
    <t>FM05-02112</t>
  </si>
  <si>
    <t>FM05-02113</t>
  </si>
  <si>
    <t>FM05-02114</t>
  </si>
  <si>
    <t>FM05-02115</t>
  </si>
  <si>
    <t>FM05-02116</t>
  </si>
  <si>
    <t>FM05-02117</t>
  </si>
  <si>
    <t>FM05-02118</t>
  </si>
  <si>
    <t>FM05-02119</t>
  </si>
  <si>
    <t>FM05-02120</t>
  </si>
  <si>
    <t>FM05-02121</t>
  </si>
  <si>
    <t>FM05-02122</t>
  </si>
  <si>
    <t>FM05-02123</t>
  </si>
  <si>
    <t>FM05-02124</t>
  </si>
  <si>
    <t>FM05-02125</t>
  </si>
  <si>
    <t>FM05-02126</t>
  </si>
  <si>
    <t>FM05-02127</t>
  </si>
  <si>
    <t>FM05-02128</t>
  </si>
  <si>
    <t>FM05-02129</t>
  </si>
  <si>
    <t>FM05-02130</t>
  </si>
  <si>
    <t>FM05-02131</t>
  </si>
  <si>
    <t>FM05-02132</t>
  </si>
  <si>
    <t>FM05-02133</t>
  </si>
  <si>
    <t>FM05-02134</t>
  </si>
  <si>
    <t>FM05-02135</t>
  </si>
  <si>
    <t>FM05-02136</t>
  </si>
  <si>
    <t>FM05-02137</t>
  </si>
  <si>
    <t>FM05-02138</t>
  </si>
  <si>
    <t>FM05-02139</t>
  </si>
  <si>
    <t>FM05-02140</t>
  </si>
  <si>
    <t>FM05-02141</t>
  </si>
  <si>
    <t>FM05-02142</t>
  </si>
  <si>
    <t>FM05-02143</t>
  </si>
  <si>
    <t>FM05-02144</t>
  </si>
  <si>
    <t>CK.27772</t>
  </si>
  <si>
    <t>FM05-02245</t>
  </si>
  <si>
    <t xml:space="preserve">Archivo Metalico de 4 Gavetas,color Gris </t>
  </si>
  <si>
    <t>MUEBLES OMAR  S.A.</t>
  </si>
  <si>
    <t>FM05-02246</t>
  </si>
  <si>
    <t>FM05-02247</t>
  </si>
  <si>
    <t>FM05-02248</t>
  </si>
  <si>
    <t>FM05-02249</t>
  </si>
  <si>
    <t>FM05-02250</t>
  </si>
  <si>
    <t>FM05-02251</t>
  </si>
  <si>
    <t>FM05-02252</t>
  </si>
  <si>
    <t>FM05-02253</t>
  </si>
  <si>
    <t>FM05-02254</t>
  </si>
  <si>
    <t>FM05-02255</t>
  </si>
  <si>
    <t>FM05-02256</t>
  </si>
  <si>
    <t>FM05-02257</t>
  </si>
  <si>
    <t>FM05-02258</t>
  </si>
  <si>
    <t>FM05-02259</t>
  </si>
  <si>
    <t>FM05-02260</t>
  </si>
  <si>
    <t>FM05-02261</t>
  </si>
  <si>
    <t>FM05-02262</t>
  </si>
  <si>
    <t xml:space="preserve">Bancada para 3 Persona, Estructura Metalica Plateada </t>
  </si>
  <si>
    <t>FM05-02263</t>
  </si>
  <si>
    <t>FM05-02264</t>
  </si>
  <si>
    <t>FM05-02265</t>
  </si>
  <si>
    <t>CK.27796</t>
  </si>
  <si>
    <t>FM05-02026</t>
  </si>
  <si>
    <t>Televisor Samsumg de 55 Pulgada LCD</t>
  </si>
  <si>
    <t>OBWU3CGR904146</t>
  </si>
  <si>
    <t xml:space="preserve">Gerencia Tecnica          </t>
  </si>
  <si>
    <t>FM05-02050</t>
  </si>
  <si>
    <t>OBWU3CGR904249</t>
  </si>
  <si>
    <t>FM05-02226</t>
  </si>
  <si>
    <t>UPS APC,120V,1 USB - BE600M1</t>
  </si>
  <si>
    <t>S0B2219N05427</t>
  </si>
  <si>
    <t>Dra. Rubelina Santos       (Direccion de asistencia a la red)</t>
  </si>
  <si>
    <t>FM05-02227</t>
  </si>
  <si>
    <t>S0B2219N05287</t>
  </si>
  <si>
    <t>FM05-02228</t>
  </si>
  <si>
    <t>S0B2219N10293</t>
  </si>
  <si>
    <t>FM05-02229</t>
  </si>
  <si>
    <t>S0B2219N08495</t>
  </si>
  <si>
    <t>FM05-02230</t>
  </si>
  <si>
    <t>S0B2216N09617</t>
  </si>
  <si>
    <t>FM05-02231</t>
  </si>
  <si>
    <t>S0B2216N01520</t>
  </si>
  <si>
    <t>FM05-02232</t>
  </si>
  <si>
    <t>S0B2216N09579</t>
  </si>
  <si>
    <t>FM05-02233</t>
  </si>
  <si>
    <t>S0B2216N09552</t>
  </si>
  <si>
    <t>FM05-02234</t>
  </si>
  <si>
    <t>S0B2216N09567</t>
  </si>
  <si>
    <t>FM05-02235</t>
  </si>
  <si>
    <t>S0B2219N07377</t>
  </si>
  <si>
    <t>FM05-02236</t>
  </si>
  <si>
    <t>S0B2219N07356</t>
  </si>
  <si>
    <t>FM05-02237</t>
  </si>
  <si>
    <t>S0B2214N03820</t>
  </si>
  <si>
    <t>FM05-02238</t>
  </si>
  <si>
    <t>S0B2214N07799</t>
  </si>
  <si>
    <t>FM05-02239</t>
  </si>
  <si>
    <t>S0B2214N03818</t>
  </si>
  <si>
    <t>FM05-02240</t>
  </si>
  <si>
    <t>S4B2216P28100</t>
  </si>
  <si>
    <t>FM05-02241</t>
  </si>
  <si>
    <t>S4B2216P28213</t>
  </si>
  <si>
    <t>FM05-02242</t>
  </si>
  <si>
    <t>S4B2216P28097</t>
  </si>
  <si>
    <t>FM05-02243</t>
  </si>
  <si>
    <t>S4B2216P28158</t>
  </si>
  <si>
    <t>FM05-02244</t>
  </si>
  <si>
    <t>S4B2214P15917</t>
  </si>
  <si>
    <t>FM05-02145</t>
  </si>
  <si>
    <t>S4B2214P15774</t>
  </si>
  <si>
    <t>FM05-02146</t>
  </si>
  <si>
    <t>S4B2214P15898</t>
  </si>
  <si>
    <t>FM05-02147</t>
  </si>
  <si>
    <t>S4B2214P15778</t>
  </si>
  <si>
    <t>FM05-02150</t>
  </si>
  <si>
    <t>S0B2216N10238</t>
  </si>
  <si>
    <t>FM05-02181</t>
  </si>
  <si>
    <t>S4B2214P27965</t>
  </si>
  <si>
    <t>FM05-02182</t>
  </si>
  <si>
    <t>S4B2214P28050</t>
  </si>
  <si>
    <t>FM05-02183</t>
  </si>
  <si>
    <t>S4B2214P10228</t>
  </si>
  <si>
    <t>FM05-02184</t>
  </si>
  <si>
    <t>S4B2214P09591</t>
  </si>
  <si>
    <t>FM05-02185</t>
  </si>
  <si>
    <t>S4B2214P09411</t>
  </si>
  <si>
    <t>FM05-02186</t>
  </si>
  <si>
    <t>S4B2214P09578</t>
  </si>
  <si>
    <t>FM05-02187</t>
  </si>
  <si>
    <t>S4B2214P09604</t>
  </si>
  <si>
    <t>FM05-02201</t>
  </si>
  <si>
    <t>XAGC175872</t>
  </si>
  <si>
    <t>FM05-02202</t>
  </si>
  <si>
    <t>XAGC175850</t>
  </si>
  <si>
    <t>FM05-02203</t>
  </si>
  <si>
    <t>XAGC175864</t>
  </si>
  <si>
    <t>FM05-02204</t>
  </si>
  <si>
    <t>XAGC175887</t>
  </si>
  <si>
    <t>FM05-02205</t>
  </si>
  <si>
    <t>XAGC175897</t>
  </si>
  <si>
    <t>FM05-02206</t>
  </si>
  <si>
    <t>XAGC175856</t>
  </si>
  <si>
    <t>FM05-02207</t>
  </si>
  <si>
    <t>XAGC175868</t>
  </si>
  <si>
    <t>FM05-02208</t>
  </si>
  <si>
    <t>XAGC175880</t>
  </si>
  <si>
    <t>FM05-02209</t>
  </si>
  <si>
    <t>XAGC210392</t>
  </si>
  <si>
    <t>FM05-02210</t>
  </si>
  <si>
    <t>XAGC249256</t>
  </si>
  <si>
    <t>FM05-02211</t>
  </si>
  <si>
    <t>XAGC175878</t>
  </si>
  <si>
    <t>FM05-02212</t>
  </si>
  <si>
    <t>XAGC175865</t>
  </si>
  <si>
    <t>FM05-02213</t>
  </si>
  <si>
    <t>XAGC175870</t>
  </si>
  <si>
    <t>FM05-02214</t>
  </si>
  <si>
    <t>XAGC175869</t>
  </si>
  <si>
    <t>FM05-02215</t>
  </si>
  <si>
    <t>XAGC210383</t>
  </si>
  <si>
    <t>FM05-02216</t>
  </si>
  <si>
    <t>XAGC175874</t>
  </si>
  <si>
    <t>FM05-02217</t>
  </si>
  <si>
    <t>XAGC175886</t>
  </si>
  <si>
    <t>FM05-02218</t>
  </si>
  <si>
    <t>XAGC209890</t>
  </si>
  <si>
    <t>FM05-02219</t>
  </si>
  <si>
    <t>XAGC175873</t>
  </si>
  <si>
    <t>FM05-02220</t>
  </si>
  <si>
    <t>XAGC175893</t>
  </si>
  <si>
    <t>FM05-02221</t>
  </si>
  <si>
    <t>XAGC175875</t>
  </si>
  <si>
    <t>FM05-02222</t>
  </si>
  <si>
    <t>XAGC175857</t>
  </si>
  <si>
    <t>FM05-02223</t>
  </si>
  <si>
    <t>XAGC210367</t>
  </si>
  <si>
    <t>FM05-02224</t>
  </si>
  <si>
    <t>XAGC175900</t>
  </si>
  <si>
    <t>FM05-02225</t>
  </si>
  <si>
    <t>XAGC175849</t>
  </si>
  <si>
    <t>FM05-02176</t>
  </si>
  <si>
    <t>XAGC175885</t>
  </si>
  <si>
    <t>FM05-02177</t>
  </si>
  <si>
    <t>XAGC210400</t>
  </si>
  <si>
    <t>FM05-02178</t>
  </si>
  <si>
    <t>XAGC175858</t>
  </si>
  <si>
    <t>FM05-02179</t>
  </si>
  <si>
    <t>XAGC175866</t>
  </si>
  <si>
    <t>FM05-02180</t>
  </si>
  <si>
    <t>XAGC175877</t>
  </si>
  <si>
    <t>FM05-02191</t>
  </si>
  <si>
    <t xml:space="preserve">Monitor Flat Dell </t>
  </si>
  <si>
    <t>J0KMWN3</t>
  </si>
  <si>
    <t>FM05-02192</t>
  </si>
  <si>
    <t>94QCFH3</t>
  </si>
  <si>
    <t>FM05-02193</t>
  </si>
  <si>
    <t>F8GF7H3</t>
  </si>
  <si>
    <t>FM05-02194</t>
  </si>
  <si>
    <t>HQPCFH3</t>
  </si>
  <si>
    <t>FM05-02195</t>
  </si>
  <si>
    <t>Scanner Fujitsu Scan Snap IX1600</t>
  </si>
  <si>
    <t>CC1H144098</t>
  </si>
  <si>
    <t>FM05-02196</t>
  </si>
  <si>
    <t>Scanner Fujitsu Scan Snap IX1601</t>
  </si>
  <si>
    <t>CC1H143955</t>
  </si>
  <si>
    <t>FM05-02197</t>
  </si>
  <si>
    <t>Scanner Fujitsu Scan Snap IX1602</t>
  </si>
  <si>
    <t>CC1H144294</t>
  </si>
  <si>
    <t>FM05-02198</t>
  </si>
  <si>
    <t>Scanner Fujitsu Scan Snap IX1603</t>
  </si>
  <si>
    <t>CC1H144133</t>
  </si>
  <si>
    <t>FM05-02266</t>
  </si>
  <si>
    <t>Computadora de Escritorio Dell Optiplex 3000 Tower  Modelo D32M</t>
  </si>
  <si>
    <t>D7NSFT3</t>
  </si>
  <si>
    <t>FM05-02267</t>
  </si>
  <si>
    <t>88NSFT3</t>
  </si>
  <si>
    <t>FM05-02268</t>
  </si>
  <si>
    <t>FM05-02269</t>
  </si>
  <si>
    <t>18NSFT4</t>
  </si>
  <si>
    <t>FM05-02270</t>
  </si>
  <si>
    <t>G8NSFT3</t>
  </si>
  <si>
    <t>FM05-02271</t>
  </si>
  <si>
    <t>58NSFT3</t>
  </si>
  <si>
    <t>FM05-02272</t>
  </si>
  <si>
    <t>78NSFT3</t>
  </si>
  <si>
    <t>FM05-02273</t>
  </si>
  <si>
    <t>39NSFT3</t>
  </si>
  <si>
    <t>FM05-02274</t>
  </si>
  <si>
    <t>48NSFT3</t>
  </si>
  <si>
    <t>FM05-02275</t>
  </si>
  <si>
    <t>H7NSFT3</t>
  </si>
  <si>
    <t>FM05-02276</t>
  </si>
  <si>
    <t>B8NSFT3</t>
  </si>
  <si>
    <t>FM05-02277</t>
  </si>
  <si>
    <t>38NSFT3</t>
  </si>
  <si>
    <t>FM05-02278</t>
  </si>
  <si>
    <t>67NSFT3</t>
  </si>
  <si>
    <t>FM05-02279</t>
  </si>
  <si>
    <t>29NSFT3</t>
  </si>
  <si>
    <t>FM05-02280</t>
  </si>
  <si>
    <t>C8NSFT3</t>
  </si>
  <si>
    <t>FM05-02281</t>
  </si>
  <si>
    <t>J7NSFT3</t>
  </si>
  <si>
    <t>FM05-02282</t>
  </si>
  <si>
    <t>68NSFT3</t>
  </si>
  <si>
    <t>FM05-02283</t>
  </si>
  <si>
    <t>B7NSFT3</t>
  </si>
  <si>
    <t>FM05-02284</t>
  </si>
  <si>
    <t>98NSFT3</t>
  </si>
  <si>
    <t>FM05-02285</t>
  </si>
  <si>
    <t>H8NSFT3</t>
  </si>
  <si>
    <t>FM05-02286</t>
  </si>
  <si>
    <t>28NSFT3</t>
  </si>
  <si>
    <t>FM05-02287</t>
  </si>
  <si>
    <t>C7NSFT3</t>
  </si>
  <si>
    <t>FM05-02288</t>
  </si>
  <si>
    <t>87NSFT3</t>
  </si>
  <si>
    <t>FM05-02289</t>
  </si>
  <si>
    <t>F7NSFT3</t>
  </si>
  <si>
    <t>FM05-02290</t>
  </si>
  <si>
    <t>97NSFT3</t>
  </si>
  <si>
    <t>FM05-02291</t>
  </si>
  <si>
    <t>19NSFT3</t>
  </si>
  <si>
    <t>FM05-02292</t>
  </si>
  <si>
    <t>77NSFT3</t>
  </si>
  <si>
    <t>FM05-02293</t>
  </si>
  <si>
    <t>F8NSFT3</t>
  </si>
  <si>
    <t>FM05-02294</t>
  </si>
  <si>
    <t>J8NSFT3</t>
  </si>
  <si>
    <t>FM05-02295</t>
  </si>
  <si>
    <t>G7NSFT3</t>
  </si>
  <si>
    <t>Total Adquiridos en RD$ y US$=====&gt;</t>
  </si>
  <si>
    <t>RESUMEN</t>
  </si>
  <si>
    <t>Costo de Adq.  En RD$</t>
  </si>
  <si>
    <t>Costo de Adq.  En US$</t>
  </si>
  <si>
    <t>Total Año 2005</t>
  </si>
  <si>
    <t>Total Año 2006</t>
  </si>
  <si>
    <t>Total Año 2007</t>
  </si>
  <si>
    <t>Total Año 2008</t>
  </si>
  <si>
    <t>Total Año 2009</t>
  </si>
  <si>
    <t>Total Año 2010</t>
  </si>
  <si>
    <t>Total Año 2011</t>
  </si>
  <si>
    <t>Total Año 2012</t>
  </si>
  <si>
    <t>Total Año 2013</t>
  </si>
  <si>
    <t xml:space="preserve">Direccion General de Bienes Nacionales </t>
  </si>
  <si>
    <t>Total Año 2014</t>
  </si>
  <si>
    <t>Total Año 2015</t>
  </si>
  <si>
    <t>Total Año 2016</t>
  </si>
  <si>
    <t>-</t>
  </si>
  <si>
    <t>y luego del seguimiento de la unidad de activos fijos fueron recuperados, son  bienes  del año 2018.</t>
  </si>
  <si>
    <t>Total Año 2017</t>
  </si>
  <si>
    <t>Total Año 2018</t>
  </si>
  <si>
    <t>Total Año 2019</t>
  </si>
  <si>
    <t>Total Año 2020</t>
  </si>
  <si>
    <t>Total año 2021</t>
  </si>
  <si>
    <t>Total año 2022</t>
  </si>
  <si>
    <t>Totales</t>
  </si>
  <si>
    <t>Preparado Por:</t>
  </si>
  <si>
    <t>Revisado Por:</t>
  </si>
  <si>
    <t>Auditado Por:</t>
  </si>
  <si>
    <t>_____________________________________</t>
  </si>
  <si>
    <t xml:space="preserve"> _________________________________</t>
  </si>
  <si>
    <t>Licda. Miriam Baez de Suero</t>
  </si>
  <si>
    <t>Encargada Dep. Administrativo- Financiero</t>
  </si>
  <si>
    <t xml:space="preserve">        CONSEJO NACIONAL PARA EL VIH Y EL SIDA</t>
  </si>
  <si>
    <t xml:space="preserve">        INVENTARIODE EQUIPOS Y MOBILIARIOS DE OFICINA - CENTRO DE CONTROL DE ENFERMEDADES - CDC</t>
  </si>
  <si>
    <t>Doc. Adquis.</t>
  </si>
  <si>
    <t>UBICACIÓN</t>
  </si>
  <si>
    <t xml:space="preserve">INSTITUCIONES </t>
  </si>
  <si>
    <t>Equivalente  Dolares</t>
  </si>
  <si>
    <t>Valor Depreciación (en meses)</t>
  </si>
  <si>
    <t>Ck. 10</t>
  </si>
  <si>
    <t>CDC-02-01174</t>
  </si>
  <si>
    <t>Impresora HP LaserJet P2035.           Incluye: Cable USB 2.0</t>
  </si>
  <si>
    <t>VNB3B17987</t>
  </si>
  <si>
    <t xml:space="preserve">Maura Gricelda Javier Contreras   </t>
  </si>
  <si>
    <t>DPS - MONTE PLATA</t>
  </si>
  <si>
    <t>CDC-02-01175</t>
  </si>
  <si>
    <t>VNB3B17763</t>
  </si>
  <si>
    <t>Pedro Mauricio Martínez Ogando</t>
  </si>
  <si>
    <t>DPS - SAN JUAN DE LA MAGUANA</t>
  </si>
  <si>
    <t>CDC-02-01176</t>
  </si>
  <si>
    <t>VNB3G55459</t>
  </si>
  <si>
    <t xml:space="preserve">Nelson Rafael González González  </t>
  </si>
  <si>
    <t>DPS - AZUA</t>
  </si>
  <si>
    <t>CDC-02-01177</t>
  </si>
  <si>
    <t>VNB3D18508</t>
  </si>
  <si>
    <t>Carmen Damarys Restituyo Gómez</t>
  </si>
  <si>
    <t>DPS - LA VEGA</t>
  </si>
  <si>
    <t>CDC-02-01179</t>
  </si>
  <si>
    <t>UPS Omega 600VA con Regulador</t>
  </si>
  <si>
    <t>CDC-02-01180</t>
  </si>
  <si>
    <t>CDC-02-01181</t>
  </si>
  <si>
    <t>CDC-02-01182</t>
  </si>
  <si>
    <t>CDC-02-01184</t>
  </si>
  <si>
    <t>Disco Duro Externo Samsung 320GB 2.5 M2 USB - BLACK</t>
  </si>
  <si>
    <t>E2DMJJ0B900110</t>
  </si>
  <si>
    <t>Juan Carlos De los Santos</t>
  </si>
  <si>
    <t>CDC-02-01185</t>
  </si>
  <si>
    <t>E2DMJJ0B908114</t>
  </si>
  <si>
    <t>Hermes Meccarielo</t>
  </si>
  <si>
    <t>CDC-02-01186</t>
  </si>
  <si>
    <t>E2DMJJ0B903754</t>
  </si>
  <si>
    <t>Jisela Quiterio</t>
  </si>
  <si>
    <t>CDC-02-01187</t>
  </si>
  <si>
    <t>Disco Duro Externo Samsung 320GB 2.5 M2 USB - BLUE</t>
  </si>
  <si>
    <t>E26RJQ0B100047</t>
  </si>
  <si>
    <t>Ivelisse Sabbath</t>
  </si>
  <si>
    <t>CDC-02-01215</t>
  </si>
  <si>
    <t>E26RJQ0B100043</t>
  </si>
  <si>
    <t>UTIC</t>
  </si>
  <si>
    <t>CDC-01-05148</t>
  </si>
  <si>
    <t>E26RJQ0B100052</t>
  </si>
  <si>
    <t>Ck. 11</t>
  </si>
  <si>
    <t>Computador (NE) Dell Optiplex 990 MT  Monitor Flat Dell 19” E1912H, Black Tarjeta de Red CNET CWP-906 W-PCI</t>
  </si>
  <si>
    <t xml:space="preserve">CPU: H3F0YR1 / MONITOR: CN-046NYG-64180-213-20TS </t>
  </si>
  <si>
    <t>CPU: H3GZXR1 / MONITOR: CN-046NYG-64180-213-20US</t>
  </si>
  <si>
    <t>CPU: H3HZXR1 / MONITOR: CN-046NYG-64180-213-215S</t>
  </si>
  <si>
    <t>CPU: H3L0YR1 / MONITOR: CN-046NYG-64180-213-218S</t>
  </si>
  <si>
    <t>CDC-01-05154</t>
  </si>
  <si>
    <t>CPU: H3L1YR1 / MONITOR: CN-046NYG-64180-213-21CS</t>
  </si>
  <si>
    <t>Ck. 14</t>
  </si>
  <si>
    <t>CDC-02-01420</t>
  </si>
  <si>
    <t>Proyector Portatil Viewsonic,                 Mod. PJD5223</t>
  </si>
  <si>
    <t>SV115115435</t>
  </si>
  <si>
    <t>CDC-02-01421</t>
  </si>
  <si>
    <t>SV115115460</t>
  </si>
  <si>
    <t xml:space="preserve">Ck. 16 </t>
  </si>
  <si>
    <t>CDC-02-01422</t>
  </si>
  <si>
    <t xml:space="preserve">Laptop Lenovo Thinkpad Edge E520 1143D7U. </t>
  </si>
  <si>
    <t>R9-LAF46</t>
  </si>
  <si>
    <t>CDC-02-01423</t>
  </si>
  <si>
    <t>R9-LAF48</t>
  </si>
  <si>
    <t>CDC-02-01424</t>
  </si>
  <si>
    <t>R9-LAF6E</t>
  </si>
  <si>
    <t>Monitores Financieros  José Santana</t>
  </si>
  <si>
    <t>CDC-02-01426</t>
  </si>
  <si>
    <t>R9-LAF6Y</t>
  </si>
  <si>
    <t>CDC-02-01427</t>
  </si>
  <si>
    <t>R9-LAF62</t>
  </si>
  <si>
    <t>CDC-02-01428</t>
  </si>
  <si>
    <t>R9-LAF7E</t>
  </si>
  <si>
    <t>Rosalba Karina</t>
  </si>
  <si>
    <t>COMUNIDAD DE LESBIANAS INCLUSIVAS DOMINICANAS</t>
  </si>
  <si>
    <t>CDC-02-01429</t>
  </si>
  <si>
    <t>R9-LAF72</t>
  </si>
  <si>
    <t>CDC-02-01430</t>
  </si>
  <si>
    <t>R9-LAF76</t>
  </si>
  <si>
    <t xml:space="preserve">          UTIC                   Tablero de Mando</t>
  </si>
  <si>
    <t>Ck. 16</t>
  </si>
  <si>
    <t>CDC-02-01432</t>
  </si>
  <si>
    <t>Impresora HP Láser Jet ENT 500 COL M551DN</t>
  </si>
  <si>
    <t>CNBCD3818J</t>
  </si>
  <si>
    <t>Gerencia Técnica    Rosa Sanchez</t>
  </si>
  <si>
    <t>CNBCD3818L</t>
  </si>
  <si>
    <t>Quilvio Feliz Ramírez</t>
  </si>
  <si>
    <t>DIR. DES. Y FORT. DE LAS DPS / DDF-DPS</t>
  </si>
  <si>
    <t>Ck. 18</t>
  </si>
  <si>
    <t>CDC-02-01434</t>
  </si>
  <si>
    <t>Laptop HP Mini 110-3830nr.                    Incluye: Office 2010, Norton y Garantía Extendida HP.</t>
  </si>
  <si>
    <t xml:space="preserve">5CD14143RR       </t>
  </si>
  <si>
    <t>SERVICIO REGIONAL DE SALUD METROPOLITANO, D.N.</t>
  </si>
  <si>
    <t>CDC-02-01435</t>
  </si>
  <si>
    <t>5CD14143X3</t>
  </si>
  <si>
    <t>CDC-02-01436</t>
  </si>
  <si>
    <t>5CD14143WP</t>
  </si>
  <si>
    <t>CDC-02-01437</t>
  </si>
  <si>
    <t>5CD14143TC</t>
  </si>
  <si>
    <t>CDC-02-01438</t>
  </si>
  <si>
    <t>5CD14143W7</t>
  </si>
  <si>
    <t>Ck. 23</t>
  </si>
  <si>
    <t>CDC-02-01439</t>
  </si>
  <si>
    <t>Armario en Metal Vertical 16 x 36 x 72" Color Crema</t>
  </si>
  <si>
    <t>CDC-02-01440</t>
  </si>
  <si>
    <t>Mesa Auxiliar 39 x 18" Mod. LQ-103 Color Haya, Tres Gaveta y Llavin</t>
  </si>
  <si>
    <t xml:space="preserve">        CIPESA             Patricia Diaz</t>
  </si>
  <si>
    <t>CDC-01-04983</t>
  </si>
  <si>
    <t>Trituradora de Papel GBC, Mod. Stylet, Color Crema</t>
  </si>
  <si>
    <t>0112100459</t>
  </si>
  <si>
    <t xml:space="preserve">Direccion Ejecutiva   </t>
  </si>
  <si>
    <t>CDC-01-04984</t>
  </si>
  <si>
    <t>0112100031</t>
  </si>
  <si>
    <t>Departamento de Adquisiciones</t>
  </si>
  <si>
    <t>Ck. 256</t>
  </si>
  <si>
    <t>CDC-01-05137</t>
  </si>
  <si>
    <t>Fotocopiadora Multifuncional MPF Toshiba e-Studio 2505F 25ppm. Incluye: Toner Black.</t>
  </si>
  <si>
    <t>CCG3311660</t>
  </si>
  <si>
    <t>DISTOSA</t>
  </si>
  <si>
    <t>Ck. 260</t>
  </si>
  <si>
    <t>CDC-01-01538</t>
  </si>
  <si>
    <t>Sillon Ejecutivo en Piel, Color Negro, con Espaldar en Malla, Sistema Giratorio y Brazos</t>
  </si>
  <si>
    <t>Almacén San cristobal</t>
  </si>
  <si>
    <t>LEON G, S.R.L.</t>
  </si>
  <si>
    <t>CDC-01-01539</t>
  </si>
  <si>
    <t>CDC-01-01542</t>
  </si>
  <si>
    <t>Correspondencia</t>
  </si>
  <si>
    <t>CDC-01-01543</t>
  </si>
  <si>
    <t>CDC-01-01544</t>
  </si>
  <si>
    <t>Ck. 289</t>
  </si>
  <si>
    <t>CDC-02-01451</t>
  </si>
  <si>
    <t>Servidor Dell Power Edge R720             Incluye: Licencia de los Software</t>
  </si>
  <si>
    <t>2HS6CZ1</t>
  </si>
  <si>
    <t xml:space="preserve">       UTIC                         Cuarto de Servidores  </t>
  </si>
  <si>
    <t>Ck. 297</t>
  </si>
  <si>
    <t>Inversor AL PII 1.5KW 120VA 12VDC y Cuatro Baterías Trojan Roja T105 6VDC.  Incluye: Kit de Materiales de Instalación</t>
  </si>
  <si>
    <t>A33181</t>
  </si>
  <si>
    <t>Freddy Emilio Ferrera Bautista</t>
  </si>
  <si>
    <t>DPS - BONAO</t>
  </si>
  <si>
    <t>SUENNA ELECTRONICA</t>
  </si>
  <si>
    <t>Ck. 300</t>
  </si>
  <si>
    <t>CDC-02-01471</t>
  </si>
  <si>
    <t>Impresora Copiadora Multifuncional Toshiba e-Studio 206L</t>
  </si>
  <si>
    <t>C2CC23337</t>
  </si>
  <si>
    <t>Ck. 311</t>
  </si>
  <si>
    <t>CDC-02-05150</t>
  </si>
  <si>
    <t>Cámara Digital Sony Cyber Shot DSC W730 16.1 mp</t>
  </si>
  <si>
    <t>S011042278A</t>
  </si>
  <si>
    <t>Olfa Elizabeth De León</t>
  </si>
  <si>
    <t>DPS - SAN CRISTOBAL</t>
  </si>
  <si>
    <t>COMPU-OFFICE DOMINICANA, S.R.L.</t>
  </si>
  <si>
    <t>CDC-01-05151</t>
  </si>
  <si>
    <t xml:space="preserve"> S011042279B</t>
  </si>
  <si>
    <t>Jose Francisco Ramón Ortiz Martinez</t>
  </si>
  <si>
    <t>DPS - COTUI</t>
  </si>
  <si>
    <t>CDC-01-05152</t>
  </si>
  <si>
    <t>S011025676D</t>
  </si>
  <si>
    <t>CDC-01-05153</t>
  </si>
  <si>
    <t>S0110256808</t>
  </si>
  <si>
    <t>Teresa Maria Rojas Guzman</t>
  </si>
  <si>
    <t>S011025677E</t>
  </si>
  <si>
    <t>Magdalena González Ortiz</t>
  </si>
  <si>
    <t>Ck. 315</t>
  </si>
  <si>
    <t>Proyector Epson PowerLite S12+ 2800 ANSI LUMER. Incluye Bulto</t>
  </si>
  <si>
    <t>PSPK3604007</t>
  </si>
  <si>
    <t>Arelis Cayetano Romano</t>
  </si>
  <si>
    <t>DAS - AREA VII              HERRERA / STO. DGO.</t>
  </si>
  <si>
    <t>PSPK3604013</t>
  </si>
  <si>
    <t>PSPK3604014</t>
  </si>
  <si>
    <t>Francis Duval De la Rosa</t>
  </si>
  <si>
    <t>PSPK3603911</t>
  </si>
  <si>
    <t>PSPK3603921</t>
  </si>
  <si>
    <t>CDC-02-01425</t>
  </si>
  <si>
    <t>PSPK3603930</t>
  </si>
  <si>
    <t>UPS OMEGA 650VA con Regulador de Voltaje</t>
  </si>
  <si>
    <t>111309303845</t>
  </si>
  <si>
    <t>111309303846</t>
  </si>
  <si>
    <t>Luisa Carolina Gonzalez</t>
  </si>
  <si>
    <t>DPS - SAN JOSE OCOA</t>
  </si>
  <si>
    <t>111309303847</t>
  </si>
  <si>
    <t>Francisco Alejandro Feliz</t>
  </si>
  <si>
    <t>DPS - ELIAS PIÑA</t>
  </si>
  <si>
    <t>111309303848</t>
  </si>
  <si>
    <t>111309303849</t>
  </si>
  <si>
    <t>CDC-02-01431</t>
  </si>
  <si>
    <t>111309303850</t>
  </si>
  <si>
    <t>111309303852</t>
  </si>
  <si>
    <t>CDC-02-01433</t>
  </si>
  <si>
    <t>111309303989</t>
  </si>
  <si>
    <t>111309303990</t>
  </si>
  <si>
    <t>111309303991</t>
  </si>
  <si>
    <t>111309303992</t>
  </si>
  <si>
    <t>Memoria 32GB USB 2.0 Kingston</t>
  </si>
  <si>
    <t>CDC-02-01441</t>
  </si>
  <si>
    <t>Ck. 320</t>
  </si>
  <si>
    <t>CDC-02-01442</t>
  </si>
  <si>
    <t>Impresora HP LaserJet Mono P1606DN</t>
  </si>
  <si>
    <t>VND3F33198</t>
  </si>
  <si>
    <t>FL BETANCES Y ASOCIADOS, SRL</t>
  </si>
  <si>
    <t>CDC-02-01443</t>
  </si>
  <si>
    <t>VND3F33200</t>
  </si>
  <si>
    <t>Leónidas Altagracia Santana Santana</t>
  </si>
  <si>
    <t>DPS - PERAVIA BANI</t>
  </si>
  <si>
    <t>CDC-02-01444</t>
  </si>
  <si>
    <t>VND3F33201</t>
  </si>
  <si>
    <t>CDC-02-01445</t>
  </si>
  <si>
    <t>VND3F33202</t>
  </si>
  <si>
    <t>CDC-02-01446</t>
  </si>
  <si>
    <t>VND3F33203</t>
  </si>
  <si>
    <t>CDC-02-01447</t>
  </si>
  <si>
    <t>VND3F33204</t>
  </si>
  <si>
    <t>CDC-02-01448</t>
  </si>
  <si>
    <t>VND3F34030</t>
  </si>
  <si>
    <t>CDC-02-01449</t>
  </si>
  <si>
    <t>VND3F34035</t>
  </si>
  <si>
    <t>CDC-02-01450</t>
  </si>
  <si>
    <t>VND3F34036</t>
  </si>
  <si>
    <t>VND3F34037</t>
  </si>
  <si>
    <t>Ck. 340</t>
  </si>
  <si>
    <t>CDC-02-01470</t>
  </si>
  <si>
    <t>Pantalla de Proyección Klipx 120" Tripode</t>
  </si>
  <si>
    <t>Mod. AC120KLX08</t>
  </si>
  <si>
    <t>CDC-02-01472</t>
  </si>
  <si>
    <t>CDC-02-01474</t>
  </si>
  <si>
    <t>CDC-02-01475</t>
  </si>
  <si>
    <t>CDC-02-01476</t>
  </si>
  <si>
    <t>Ck. 347</t>
  </si>
  <si>
    <t>CDC-02-01452</t>
  </si>
  <si>
    <t>Computador HP Pro-3500 Microtower. Incluye: Monitor HP LV1911 LED 18.5"</t>
  </si>
  <si>
    <t>CPU: MXL40417KZ / MONITOR: 6CM34525PZ</t>
  </si>
  <si>
    <t>NOVALOGIQ</t>
  </si>
  <si>
    <t>CDC-02-01453</t>
  </si>
  <si>
    <t>CPU: MXL40417L6 / MONITOR: 6CM34527MO</t>
  </si>
  <si>
    <t>CDC-02-01454</t>
  </si>
  <si>
    <t>CPU: MXL40417LJ / MONITOR: 6CM34525Q3</t>
  </si>
  <si>
    <t>CDC-02-01455</t>
  </si>
  <si>
    <t>CPU: MXL40417L7 / MONITOR: 6CM34527M4</t>
  </si>
  <si>
    <t>CDC-02-01456</t>
  </si>
  <si>
    <t>CPU: MXL40417L0 / MONITOR: 6CM34525QG</t>
  </si>
  <si>
    <t>CDC-02-01457</t>
  </si>
  <si>
    <t>CPU: MXL40417L8 / MONITOR: 6CM34527M5</t>
  </si>
  <si>
    <t>CDC-02-01458</t>
  </si>
  <si>
    <t>CPU: MXL40417L2 / MONITOR: 6CM34525QF</t>
  </si>
  <si>
    <t>CDC-02-01459</t>
  </si>
  <si>
    <t>CPU: MXL40417LG / MONITOR: 6CM34527LN</t>
  </si>
  <si>
    <t>CDC-02-01460</t>
  </si>
  <si>
    <t>CPU: MXL40417L5 / MONITOR: 6CM34525PX</t>
  </si>
  <si>
    <t>CDC-02-01461</t>
  </si>
  <si>
    <t>CPU: MXL40417LB / MONITOR: 6CM34527LP</t>
  </si>
  <si>
    <t>CDC-02-01462</t>
  </si>
  <si>
    <t>Laptop Hp Pro-Book 440 G1.                   Incluye: Bulto.</t>
  </si>
  <si>
    <t>2CE3420B8H</t>
  </si>
  <si>
    <t>CDC-02-01463</t>
  </si>
  <si>
    <t>2CE3420B47</t>
  </si>
  <si>
    <t>CDC-02-01464</t>
  </si>
  <si>
    <t>2CE3420B3W</t>
  </si>
  <si>
    <t>CDC-02-01465</t>
  </si>
  <si>
    <t>2CE3420B90</t>
  </si>
  <si>
    <t>CDC-02-01466</t>
  </si>
  <si>
    <t>2CE3420B6K</t>
  </si>
  <si>
    <t>CDC-02-01467</t>
  </si>
  <si>
    <t>2CE3420B3H</t>
  </si>
  <si>
    <t>CDC-02-01468</t>
  </si>
  <si>
    <t>2CE3420B87</t>
  </si>
  <si>
    <t>CDC-02-01469</t>
  </si>
  <si>
    <t>2CE3420B6V</t>
  </si>
  <si>
    <t>Fuente_1:</t>
  </si>
  <si>
    <t>Depto. Financiero - CONAVIHSIDA</t>
  </si>
  <si>
    <t>Fuente_2:</t>
  </si>
  <si>
    <t>Sub-Beneficiarios.</t>
  </si>
  <si>
    <t>Fuente_3:</t>
  </si>
  <si>
    <t>Direcciones Provinciales de Salud.</t>
  </si>
  <si>
    <r>
      <rPr>
        <b/>
        <sz val="11"/>
        <color indexed="10"/>
        <rFont val="Arial"/>
        <family val="2"/>
      </rPr>
      <t xml:space="preserve">  Nota_2:</t>
    </r>
    <r>
      <rPr>
        <b/>
        <sz val="10"/>
        <color indexed="18"/>
        <rFont val="Arial"/>
        <family val="2"/>
      </rPr>
      <t xml:space="preserve"> En los Años del 2015 al 2022 no hubo compra de activos.</t>
    </r>
  </si>
  <si>
    <t>Total Año 2021</t>
  </si>
  <si>
    <t>Total Año 2022</t>
  </si>
  <si>
    <t>Coordinador Controles Internos</t>
  </si>
  <si>
    <t xml:space="preserve">         CONSEJO NACIONAL PARA EL VIH Y EL SIDA</t>
  </si>
  <si>
    <t xml:space="preserve">         INVENTARIO GENERAL DE EQUIPOS Y MOBILIARIOS DE OFICINA - SUBVENCION DEL GOBIERNO DOMINICANO</t>
  </si>
  <si>
    <t>Lib. 700-1 Subvención</t>
  </si>
  <si>
    <t>GOB-01-05311</t>
  </si>
  <si>
    <t>Sillon Ejecutivo en Tela Color Azul, Mod. LM-329</t>
  </si>
  <si>
    <t>Gestión Servicio de Salud                               Iris Garcias</t>
  </si>
  <si>
    <t>LIMCOBA, SRL.</t>
  </si>
  <si>
    <t>GOB-01-05312</t>
  </si>
  <si>
    <t>Butaca de Visita en Tela Color Azul, Mod. LM-247</t>
  </si>
  <si>
    <t>Gestión Humana        Miguel Ruiz</t>
  </si>
  <si>
    <t>GOB-01-05313</t>
  </si>
  <si>
    <t>GOB-01-05314</t>
  </si>
  <si>
    <t>Armario Metalico de 2 Puertas, Mod. LM-AM72</t>
  </si>
  <si>
    <t xml:space="preserve">  Central Telefónica   UTIC</t>
  </si>
  <si>
    <t>GOB-01-05315</t>
  </si>
  <si>
    <t>GOB-01-05316</t>
  </si>
  <si>
    <t>Silla Cajero en Tela Color Azul con Brazos Mod. LM-588</t>
  </si>
  <si>
    <t>GOB-01-05318</t>
  </si>
  <si>
    <t>Sillon Semi-Ejecutivo en Tela Color Negro, Mod. LM-AZ02</t>
  </si>
  <si>
    <t xml:space="preserve"> Herme Macarielo Comunicaciones</t>
  </si>
  <si>
    <t>GOB-01-05319</t>
  </si>
  <si>
    <t xml:space="preserve">   Planificación</t>
  </si>
  <si>
    <t>GOB-01-05320</t>
  </si>
  <si>
    <t xml:space="preserve"> Comunicaciones</t>
  </si>
  <si>
    <t>GOB-01-05321</t>
  </si>
  <si>
    <t xml:space="preserve">Correspondencia / Eugenia Rosario </t>
  </si>
  <si>
    <t>GOB-01-05322</t>
  </si>
  <si>
    <t xml:space="preserve">Almacen en san cristobal </t>
  </si>
  <si>
    <t>GOB-01-05323</t>
  </si>
  <si>
    <t xml:space="preserve">Maritza Piña   </t>
  </si>
  <si>
    <t>DIVERSIDAD DOMINICANA</t>
  </si>
  <si>
    <t>Lib. 713-1 Subvención</t>
  </si>
  <si>
    <t>GOB-02-01517</t>
  </si>
  <si>
    <t>Mini Laptop Acer Aspire E11</t>
  </si>
  <si>
    <t xml:space="preserve">NXMQVAA002431085747600    </t>
  </si>
  <si>
    <t>DIRECCION NAC. DE EMERGENCIAS Y DESASTRES</t>
  </si>
  <si>
    <t>Lib. 94-1 Subvención</t>
  </si>
  <si>
    <t>GOB-02-01529</t>
  </si>
  <si>
    <t>Impresora Multifuncional Toshiba e-Estudio 477s</t>
  </si>
  <si>
    <t>TQFE14534</t>
  </si>
  <si>
    <t>Unidad de Adquisiciones</t>
  </si>
  <si>
    <t>SOLUCIONES TECNOLOGICAS EMPRESARIALES, SRL.</t>
  </si>
  <si>
    <t>GOB-02-01530</t>
  </si>
  <si>
    <t>TQFE14513</t>
  </si>
  <si>
    <t>Pasillo 1er. Nivel Frente a la Cocina</t>
  </si>
  <si>
    <t>Lib. 111-1 Subvención</t>
  </si>
  <si>
    <t>GOB-02-01532</t>
  </si>
  <si>
    <t>UPS APC Smart-UPS RT 6000VA,           Modelo: SURTD6000RMXLP3U.</t>
  </si>
  <si>
    <t>QS1510271233</t>
  </si>
  <si>
    <t>Unidad de Tecnología Cuarto Servidores</t>
  </si>
  <si>
    <t>ASYCTEC, SRL.</t>
  </si>
  <si>
    <t>Lib. 202-1  Subvención</t>
  </si>
  <si>
    <t>GOB-02-01533</t>
  </si>
  <si>
    <t>Laptop Dell Latitude E550</t>
  </si>
  <si>
    <t>1X7PP12</t>
  </si>
  <si>
    <t>Gerencia Técnica       Yadira Medina</t>
  </si>
  <si>
    <t>OFFITEK, SRL.</t>
  </si>
  <si>
    <t>GOB-02-01534</t>
  </si>
  <si>
    <t>Laptop Dell Latitude E5550</t>
  </si>
  <si>
    <t>8YCPN32</t>
  </si>
  <si>
    <t>Coordinacioón Financiera           Welinton Mora</t>
  </si>
  <si>
    <t>GOB-02-01535</t>
  </si>
  <si>
    <t>HR1BL32</t>
  </si>
  <si>
    <t>GOB-02-01536</t>
  </si>
  <si>
    <t>Laptop: JV3XP12       Monitor: 4VCBKV2</t>
  </si>
  <si>
    <t>Coordinadora Administractiva        Miriam J.Baez</t>
  </si>
  <si>
    <t>GOB-02-01537</t>
  </si>
  <si>
    <t>CMWDN32</t>
  </si>
  <si>
    <t xml:space="preserve">Ante Despacho Dirección Ejecutiva     </t>
  </si>
  <si>
    <t>GOB-02-01538</t>
  </si>
  <si>
    <t>GN79L32</t>
  </si>
  <si>
    <t>Planificación y Desarrollo           Noemi Encarnación</t>
  </si>
  <si>
    <t>GOB-02-01539</t>
  </si>
  <si>
    <t>BJMPN32</t>
  </si>
  <si>
    <t>Controles Internos     Yoel Mieses</t>
  </si>
  <si>
    <t>GOB-02-01540</t>
  </si>
  <si>
    <t>1SJPN32</t>
  </si>
  <si>
    <t xml:space="preserve">Gerencia Técnica      </t>
  </si>
  <si>
    <t>Lib. 853-1  Subvención</t>
  </si>
  <si>
    <t>GOB-02-01541</t>
  </si>
  <si>
    <t>Impresora Multifuncional HP Laser Jet M521 DN</t>
  </si>
  <si>
    <t>CNB7J7G4SB</t>
  </si>
  <si>
    <t>FL BETANCES &amp; ASOCIADOS, SRL.</t>
  </si>
  <si>
    <t>GOB-01-05325</t>
  </si>
  <si>
    <t>Calculadora Sumadora Sharp EL2630PIII de 12 Digitos</t>
  </si>
  <si>
    <t>6D026355</t>
  </si>
  <si>
    <t>GOB-01-05326</t>
  </si>
  <si>
    <t xml:space="preserve">Trituradora Power SHRED H-7C de Corte Cruzado de 7 Hojas </t>
  </si>
  <si>
    <t>H7C160715QA0099303</t>
  </si>
  <si>
    <t>GOB-01-05327</t>
  </si>
  <si>
    <t>H7C160715QA0099304</t>
  </si>
  <si>
    <t>GOB-01-05328</t>
  </si>
  <si>
    <t>H7C160715QA0099358</t>
  </si>
  <si>
    <t>Controles Internos</t>
  </si>
  <si>
    <t>Lib. No.138-1</t>
  </si>
  <si>
    <t>GOB-02-01583</t>
  </si>
  <si>
    <t xml:space="preserve">Impresora Multifuncional HP LaserJet M521DN Pro 500  </t>
  </si>
  <si>
    <t>CNB7J59FZF</t>
  </si>
  <si>
    <t>Ante Despacho Dirección Ejecutiva     Gisela Garcia</t>
  </si>
  <si>
    <t>FL BETANCES &amp; ASOCIADOS, S.R.L.</t>
  </si>
  <si>
    <t>Lib. No.183-1</t>
  </si>
  <si>
    <t>GOB-02-01584</t>
  </si>
  <si>
    <t>Software Microsoft Visio Estándar 2016</t>
  </si>
  <si>
    <t>GOB-02-01585</t>
  </si>
  <si>
    <t>Disco Duro Interno de 1 TB Seagate Sata</t>
  </si>
  <si>
    <t>GOB-02-01586</t>
  </si>
  <si>
    <t>Monitor Plano AOC 24" LCD/LED 1080P</t>
  </si>
  <si>
    <t>F55GBBA000493</t>
  </si>
  <si>
    <t>Unidad de Tecnología Vilma Peralta</t>
  </si>
  <si>
    <t xml:space="preserve">     Fuente_2:</t>
  </si>
  <si>
    <r>
      <rPr>
        <b/>
        <sz val="10"/>
        <color indexed="10"/>
        <rFont val="Arial"/>
        <family val="2"/>
      </rPr>
      <t xml:space="preserve">     Nota_2:</t>
    </r>
    <r>
      <rPr>
        <b/>
        <sz val="10"/>
        <color indexed="18"/>
        <rFont val="Arial"/>
        <family val="2"/>
      </rPr>
      <t xml:space="preserve"> En los Años, 2018, 2019 , 2020,2021 y 2022 no hubo compra de activos.</t>
    </r>
  </si>
  <si>
    <r>
      <rPr>
        <b/>
        <sz val="11"/>
        <color indexed="10"/>
        <rFont val="Arial"/>
        <family val="2"/>
      </rPr>
      <t xml:space="preserve">   </t>
    </r>
    <r>
      <rPr>
        <b/>
        <sz val="10"/>
        <color indexed="10"/>
        <rFont val="Arial"/>
        <family val="2"/>
      </rPr>
      <t xml:space="preserve"> Nota_3:</t>
    </r>
    <r>
      <rPr>
        <b/>
        <sz val="10"/>
        <color indexed="18"/>
        <rFont val="Arial"/>
        <family val="2"/>
      </rPr>
      <t xml:space="preserve"> Algunos bienes adquiridos en el 2016 y 2017, fueron descargado a la</t>
    </r>
  </si>
  <si>
    <t xml:space="preserve">  Dirección General de Bienes Nacionales.</t>
  </si>
  <si>
    <t xml:space="preserve">         INVENTARIO GENERAL DE EQUIPOS Y MOBILIARIOS DE OFICINA - DONACION DEL GOBIERNO DOMINICANO</t>
  </si>
  <si>
    <t>GOB-01-01378</t>
  </si>
  <si>
    <t>Protectora de Cheques PayMaster de 9 Digitos</t>
  </si>
  <si>
    <t>16443A9</t>
  </si>
  <si>
    <t>GOB-01-01379</t>
  </si>
  <si>
    <t xml:space="preserve">Cuadro Pintura de Mario Davalos    </t>
  </si>
  <si>
    <t>GOB-01-01386</t>
  </si>
  <si>
    <t xml:space="preserve">Porta Saco en Caoba     </t>
  </si>
  <si>
    <t>Pasillo 2do. Nivel</t>
  </si>
  <si>
    <t>GOB-01-01389</t>
  </si>
  <si>
    <t xml:space="preserve">Aire Acondicionado de 5 Toneladas     Marca Conformarker de 60,000 BTU. </t>
  </si>
  <si>
    <t>2202A68510 / 2102E29974</t>
  </si>
  <si>
    <t>GOB-01-01376</t>
  </si>
  <si>
    <t xml:space="preserve">Estante en Pino Tratado de 4 Niveles    </t>
  </si>
  <si>
    <t>GOB-01-01391</t>
  </si>
  <si>
    <t>GOB-01-01813</t>
  </si>
  <si>
    <t xml:space="preserve">Estante en Pino Tratado de 5 Niveles    </t>
  </si>
  <si>
    <t>GOB-01-01393</t>
  </si>
  <si>
    <t xml:space="preserve">Mesa para Telefono en Caoba  </t>
  </si>
  <si>
    <t>GOB-01-01403</t>
  </si>
  <si>
    <t xml:space="preserve">Radio Portatil Philips  </t>
  </si>
  <si>
    <t>KT000229038530</t>
  </si>
  <si>
    <t>Central Telefónica</t>
  </si>
  <si>
    <t>GOB-01-01402</t>
  </si>
  <si>
    <t xml:space="preserve">Armario Vertical de 2 Puertas en Caoba </t>
  </si>
  <si>
    <t>GOB-01-01405</t>
  </si>
  <si>
    <t xml:space="preserve">Archivo Vertical de 3 Gavetas     </t>
  </si>
  <si>
    <t>GOB-03-00016</t>
  </si>
  <si>
    <t xml:space="preserve">Camioneta Nissan Frontier, Blanca, 2005 </t>
  </si>
  <si>
    <t>Chasis:  JN1CJUD22Z0740042   Placa: EL06214</t>
  </si>
  <si>
    <t>Santo Domingo, D.N</t>
  </si>
  <si>
    <t>SERVICIO REGIONAL DE SALUD ENRIQUILLO, REGION IV</t>
  </si>
  <si>
    <t>SANTO DOMINGO MOTORS</t>
  </si>
  <si>
    <t>GOB-03-00017</t>
  </si>
  <si>
    <t>Camioneta Nissan Frontier, Blanca, 2005</t>
  </si>
  <si>
    <t>Chassis: JN1CJUD22Z0740065</t>
  </si>
  <si>
    <t>RED DOMINICANA DE PERSONAS QUE VIVEN CON VIH+ (REDOVIH+)</t>
  </si>
  <si>
    <t>GOB-03-00018</t>
  </si>
  <si>
    <t>Autobus Toyota de 15 Pasajeros, Blanco, Mod. LH202L-REMDE, Año 2006.</t>
  </si>
  <si>
    <t xml:space="preserve">Chasis: JTFJK02P100002470  Placa: EL00562 </t>
  </si>
  <si>
    <t>Jorge Ernesto Méndez Mejía</t>
  </si>
  <si>
    <t>DELTA COMERCIAL, C. X A.</t>
  </si>
  <si>
    <t>GOB-03-00031</t>
  </si>
  <si>
    <t>Jeppeta Ford Explorer XLT 4X2, Azul, 2007  placa: EG00255</t>
  </si>
  <si>
    <t>Chassis: 1FMEU63E07UA60721</t>
  </si>
  <si>
    <t>GRUPO VIAMAR</t>
  </si>
  <si>
    <t>GOB-02-00943</t>
  </si>
  <si>
    <t xml:space="preserve">Impresora Matricial Epson LX-300-II   </t>
  </si>
  <si>
    <t xml:space="preserve">G8DY374693  </t>
  </si>
  <si>
    <t>CECOMSA, S.A.</t>
  </si>
  <si>
    <t>GOB-01-02907</t>
  </si>
  <si>
    <t>Mesa de Centro en Caoba</t>
  </si>
  <si>
    <t>Ante Despacho/Gisela Garcia</t>
  </si>
  <si>
    <t>FLORISTERIA LA PRIMAVERA, C X A.</t>
  </si>
  <si>
    <t>GOB-01-00485</t>
  </si>
  <si>
    <t>Archivo Metalico Vertical de 4 Gaveta, Color Crema</t>
  </si>
  <si>
    <t>28x26x52</t>
  </si>
  <si>
    <t>Consultoría Jurídica</t>
  </si>
  <si>
    <t>ACTUALIDADES VD.</t>
  </si>
  <si>
    <t>Ck. 4206</t>
  </si>
  <si>
    <t>GOB-02-01516</t>
  </si>
  <si>
    <t>A0VB235575</t>
  </si>
  <si>
    <t>Transf. 237</t>
  </si>
  <si>
    <t>MUEBLES OMAR / Leticia Coss</t>
  </si>
  <si>
    <t>GOB-01-05335</t>
  </si>
  <si>
    <t>Escritorio Space con Tope de Cristal Martillado. Dimensión: 28 x 48.</t>
  </si>
  <si>
    <t>GOB-01-05339</t>
  </si>
  <si>
    <t>Gabinete Aéreo en Madera Prensadas</t>
  </si>
  <si>
    <t>IKEA. / Leticia Coss</t>
  </si>
  <si>
    <t>GOB-01-05340</t>
  </si>
  <si>
    <t>GOB-01-05341</t>
  </si>
  <si>
    <t>GOB-01-05342</t>
  </si>
  <si>
    <t>GOB-01-05343</t>
  </si>
  <si>
    <t>GOB-01-05344</t>
  </si>
  <si>
    <t>GOB-01-05345</t>
  </si>
  <si>
    <t>Cuadro de Pared. Dimensión 53 x 53 x 3.8</t>
  </si>
  <si>
    <t>ALMACENES UNIDOS. / Leticia Coss</t>
  </si>
  <si>
    <t>GOB-01-05346</t>
  </si>
  <si>
    <t>Estanteria Aerea en Madera Prensadas. Mod. Kallax</t>
  </si>
  <si>
    <t>GOB-01-05347</t>
  </si>
  <si>
    <t>Armario Mediano en Madera Prenzadas. Para Impresora y Suministro.</t>
  </si>
  <si>
    <t>Ck. 4641</t>
  </si>
  <si>
    <t>GOBDOM-01-05642</t>
  </si>
  <si>
    <t>Taladro Makita MT de 3/8 350W</t>
  </si>
  <si>
    <t>Servicios Generales</t>
  </si>
  <si>
    <t>LA INNOVACION, SRL.</t>
  </si>
  <si>
    <t>Ck.4730</t>
  </si>
  <si>
    <t>MICROHONDA /PANASONI,COLOR : BLANCO</t>
  </si>
  <si>
    <t>PAsillo 2do. Nivel</t>
  </si>
  <si>
    <t>LINCOBA</t>
  </si>
  <si>
    <t>Total Año 2001</t>
  </si>
  <si>
    <t>Total Año 2002</t>
  </si>
  <si>
    <t>Total Año 2003</t>
  </si>
  <si>
    <t>Total Año 2004</t>
  </si>
  <si>
    <t>Hospitales y Servicios Regionales.</t>
  </si>
  <si>
    <t xml:space="preserve">  No hubo compra de activos.</t>
  </si>
  <si>
    <r>
      <rPr>
        <b/>
        <sz val="10"/>
        <color indexed="10"/>
        <rFont val="Arial"/>
        <family val="2"/>
      </rPr>
      <t xml:space="preserve">        Nota_3:</t>
    </r>
    <r>
      <rPr>
        <b/>
        <sz val="10"/>
        <color indexed="18"/>
        <rFont val="Arial"/>
        <family val="2"/>
      </rPr>
      <t xml:space="preserve"> Los bienes adquiridos en el 2008, fueron descargado a la</t>
    </r>
  </si>
  <si>
    <t xml:space="preserve">          INVENTARIO GENERAL DE EQUIPOS Y MOBILIARIOS DE OFICINA - CONTRAPARTIDA DEL GOBIERNO DOMINICANO</t>
  </si>
  <si>
    <t>Equivalente en Dolares</t>
  </si>
  <si>
    <t>Valor Depreciación         (en meses)</t>
  </si>
  <si>
    <t xml:space="preserve">Lib. 308-1 </t>
  </si>
  <si>
    <t>GOB-02-01518</t>
  </si>
  <si>
    <t>Transformador de UPS APC SMART RT-TOWER ISOLATION/STEP-DOWN. Incluye: Instalación, Conf. y Puestra en Marcha.</t>
  </si>
  <si>
    <t>5S1506T09264</t>
  </si>
  <si>
    <t>Unidad de Tecnología     Cuarto de Equipo</t>
  </si>
  <si>
    <t xml:space="preserve">Lib. 345-1 </t>
  </si>
  <si>
    <t>GOB-02-01519</t>
  </si>
  <si>
    <t xml:space="preserve">Lib. 349-1 </t>
  </si>
  <si>
    <t>GOB-02-01520</t>
  </si>
  <si>
    <t>Impresora Multifuncional HP Pro400                            M-425DN</t>
  </si>
  <si>
    <t>CNF8H15FD7</t>
  </si>
  <si>
    <t>Depto. De Adquisiciones Damaris Mesa</t>
  </si>
  <si>
    <t>GLOBAL OFFICE JL, SRL</t>
  </si>
  <si>
    <t xml:space="preserve">Lib. 394-1 </t>
  </si>
  <si>
    <t>GOB-01-05296</t>
  </si>
  <si>
    <t>Credenza en Melamina Color Haya, Puertas Corrediza Mod. LM-2000</t>
  </si>
  <si>
    <t xml:space="preserve">Ante-Despacho  Dirección Ejecutiva       </t>
  </si>
  <si>
    <t>GOB-01-05298</t>
  </si>
  <si>
    <t>Escritorio en Madera Enchapada con Mahogany, con Archivo Modular de 3 Gavetas y Lateral, Mod. LM-5518</t>
  </si>
  <si>
    <t xml:space="preserve">Dirección Ejecutiva       Dr. Rafael Enrique Gonzalez </t>
  </si>
  <si>
    <t>Armario Metalico de 2 Puertas, Color Gris, Mod. LM-AM72</t>
  </si>
  <si>
    <t>GOB-01-05300</t>
  </si>
  <si>
    <t xml:space="preserve">Controles Internos        Gumensindo Cuevas </t>
  </si>
  <si>
    <t xml:space="preserve">Lib. 400-1 </t>
  </si>
  <si>
    <t>GOB-04-00112</t>
  </si>
  <si>
    <t>Central Telefónica Starvox Hibrida con Troncal T1. Incluye: Servicio Técnico, Instalación, Configuración y Entrenamientos.</t>
  </si>
  <si>
    <t xml:space="preserve">Servidor: 4CBKWG1  </t>
  </si>
  <si>
    <t>MR NETWORKING, SRL.</t>
  </si>
  <si>
    <t>GOB-04-00113</t>
  </si>
  <si>
    <t>Teléfono Grandstream GXP2130. Cantidad: 18 Unidades</t>
  </si>
  <si>
    <t>GOB-04-00114</t>
  </si>
  <si>
    <t>Teléfono Grandstream GXP1625. Cantidad: 69 Unidades</t>
  </si>
  <si>
    <t xml:space="preserve">Lib. 612-1 </t>
  </si>
  <si>
    <t>GOB-02-01522</t>
  </si>
  <si>
    <t>Switch Cisco SG300-28PP-K9 de 28 Pto.</t>
  </si>
  <si>
    <t>DNI19170A7U</t>
  </si>
  <si>
    <t>Unidad de Tecnología   Cuarto de Servidores</t>
  </si>
  <si>
    <t>GOB-02-01523</t>
  </si>
  <si>
    <t>DNI191709B5</t>
  </si>
  <si>
    <t xml:space="preserve">Lib. 641-1 </t>
  </si>
  <si>
    <t>GOB-02-01521</t>
  </si>
  <si>
    <t>Impresora HP LaserJet M604DN Monocromática</t>
  </si>
  <si>
    <t>CNBCH7B0F7</t>
  </si>
  <si>
    <t xml:space="preserve">Gerencia Técnica       Melvin Briosos </t>
  </si>
  <si>
    <t xml:space="preserve">Lib. 645-1 </t>
  </si>
  <si>
    <t>GRUPO TECNOLOGICO ADEXSUS, SRL.</t>
  </si>
  <si>
    <t>GOB-02-01525</t>
  </si>
  <si>
    <t>Equipo Dell SonicWall TZ400 Secure Upgrade Plus 2YR</t>
  </si>
  <si>
    <t>18B1690D7274</t>
  </si>
  <si>
    <t xml:space="preserve">Lib. 693-1 </t>
  </si>
  <si>
    <t>GOB-02-01526</t>
  </si>
  <si>
    <t>Impresora Epson LX-350 Plus Matricial</t>
  </si>
  <si>
    <t>Q75Y101747</t>
  </si>
  <si>
    <t>Coordinación Financiera  Elizauris Casilla</t>
  </si>
  <si>
    <t>FL BETANCES &amp; ASOCIADO, S.A.</t>
  </si>
  <si>
    <t xml:space="preserve">Lib. 795-1 </t>
  </si>
  <si>
    <t>GOB-01-05306</t>
  </si>
  <si>
    <t>Unidad de Tecnología      Vilma Peralta</t>
  </si>
  <si>
    <t>GOB-01-05308</t>
  </si>
  <si>
    <t>Butaca de Visita en Tela Color Negro, Mod. LM-MD</t>
  </si>
  <si>
    <t>GOB-01-05309</t>
  </si>
  <si>
    <t>GOB-01-05310</t>
  </si>
  <si>
    <t>Silla Técnica en Tela Color Negro y Espaldar en Mesh, Mod. LM-STICK.</t>
  </si>
  <si>
    <t xml:space="preserve">Unidad de Población Clave </t>
  </si>
  <si>
    <t>Lib. No.688 Pagado en Junio, 2017</t>
  </si>
  <si>
    <t>GOB-01-05348</t>
  </si>
  <si>
    <t>Bebedero de Botellón Daiwa. Con Botellón Oculto. Color Gris.</t>
  </si>
  <si>
    <t>DW-11750542</t>
  </si>
  <si>
    <t>Depto. De Adquisiciones</t>
  </si>
  <si>
    <t>Lib. No.930</t>
  </si>
  <si>
    <t>GOB-02-01587</t>
  </si>
  <si>
    <t xml:space="preserve">Scanner Fujitsu Scan Snap iX500  </t>
  </si>
  <si>
    <t>AWRHF05548</t>
  </si>
  <si>
    <t>Lib. No.1062</t>
  </si>
  <si>
    <t>GOB-01-05352</t>
  </si>
  <si>
    <t>Cámara Fotográfica NIKON D7200 24.0 Mega Pixeles, Video Full HD 1080P, Conectividad Wifi. LCD 3.2 Pulgadas. Incluye: Bateria Externa, Cargador, Correa de Cuello, Cable USB, Memoria, Bulto. Disco Duro Portatil 2TB.</t>
  </si>
  <si>
    <t>Prensa y Relaciones Pública                           Pedro Canela</t>
  </si>
  <si>
    <t>GOB-01-05353</t>
  </si>
  <si>
    <t xml:space="preserve">Lente Tamron P/Nikon Zoom 18-200mm VR II F3.5-5.6G. </t>
  </si>
  <si>
    <t>Lib. No.1231</t>
  </si>
  <si>
    <t>GOB-02-01597</t>
  </si>
  <si>
    <t>Laptop Lenovo ThinkPad P51                      Incluye: Cargador, Dock Station y Bulto.</t>
  </si>
  <si>
    <t>PF0T6EVS</t>
  </si>
  <si>
    <t>CECOMSA, SRL.</t>
  </si>
  <si>
    <t>GOB-02-01598</t>
  </si>
  <si>
    <t>Laptop Dell Latitude 5580                        Incluye: Cargador, Dock Station y Bulto.</t>
  </si>
  <si>
    <t>FMVYFH2</t>
  </si>
  <si>
    <t>GOB-02-01599</t>
  </si>
  <si>
    <t>4NVYFH2</t>
  </si>
  <si>
    <t>Gerencia Técnica         Generoso Castillo</t>
  </si>
  <si>
    <t>GOB-02-01600</t>
  </si>
  <si>
    <t>CFOZFH2</t>
  </si>
  <si>
    <t>Controles Internos              Carlos Castillo</t>
  </si>
  <si>
    <t>GOB-02-01601</t>
  </si>
  <si>
    <t>9COZFH2</t>
  </si>
  <si>
    <t>Unidad Población Clave                          Magaly Smith</t>
  </si>
  <si>
    <t>GOB-02-01602</t>
  </si>
  <si>
    <t>2H5BGH2</t>
  </si>
  <si>
    <t>Monitores Financieros    Pedro Montás</t>
  </si>
  <si>
    <t>GOB-02-01603</t>
  </si>
  <si>
    <t>Laptop: 1GOZFH2      Monitor: CN-0R16JC-72872-340-F58N</t>
  </si>
  <si>
    <t>Unidad Población Clave                          Ramón Acevedo</t>
  </si>
  <si>
    <t>GOB-02-01604</t>
  </si>
  <si>
    <t>7NVYFH2</t>
  </si>
  <si>
    <t>Coordinación Financiera  Aurora Moquete</t>
  </si>
  <si>
    <t>GOB-02-01605</t>
  </si>
  <si>
    <t>Laptop: BL5BGH2   Monitor: CN-0CC639-72872-643-ERKM</t>
  </si>
  <si>
    <t>GOB-02-01606</t>
  </si>
  <si>
    <t>Laptop: 6H0ZFH2  Monitor: CN-0R16JC-72872-345-AEDM</t>
  </si>
  <si>
    <t>Unidad de Población Clave                   Humberto Lopez</t>
  </si>
  <si>
    <t>GOB-02-01607</t>
  </si>
  <si>
    <t>Laptop. FGVYFH2       Monitor: CQ7RCW2</t>
  </si>
  <si>
    <t>Coordinación Financiera  Ingrid Melo</t>
  </si>
  <si>
    <t>GOB-02-01608</t>
  </si>
  <si>
    <t>Laptop: 3JVYFH2   Monitor: CN-0R16JC-72872-340-F5PM</t>
  </si>
  <si>
    <t xml:space="preserve">Gestion Humana         Miguel ruiz </t>
  </si>
  <si>
    <t>GOB-02-01609</t>
  </si>
  <si>
    <t>4PVYFH2</t>
  </si>
  <si>
    <t xml:space="preserve">Gerencia Técnica           </t>
  </si>
  <si>
    <t>GOB-02-01610</t>
  </si>
  <si>
    <t>Laptop: HKVYFH2   Monitor: 9HJ64X2</t>
  </si>
  <si>
    <t>Planificación y Desarrollo Ramón Astacio</t>
  </si>
  <si>
    <t>GOB-02-01611</t>
  </si>
  <si>
    <t>2MVYFH2</t>
  </si>
  <si>
    <t xml:space="preserve">Consultoria Juridica  portes </t>
  </si>
  <si>
    <t>GOB-02-01612</t>
  </si>
  <si>
    <t>4M5BGH2</t>
  </si>
  <si>
    <t>Gerencia Técnica            Nurys Amador</t>
  </si>
  <si>
    <t>Lib. No.690. Pagado en Junio, 2017</t>
  </si>
  <si>
    <t>GOB-01-05351</t>
  </si>
  <si>
    <t>Abanico de Torre marca Hamilton</t>
  </si>
  <si>
    <t xml:space="preserve">Correspondencia         </t>
  </si>
  <si>
    <t>MUÑOZ CONCEPTO MOBILIARIOS, S.A.</t>
  </si>
  <si>
    <t>Lib. No.1300</t>
  </si>
  <si>
    <t>GOB-01-05354</t>
  </si>
  <si>
    <t>Control de Acceso Facial Biométrico + Controles de Acceso con Tarjeta.                Incluye: Lectora, Baterias, Botones, Software y Mano de Obra.</t>
  </si>
  <si>
    <t>Puntos Estratégicos de la Institución</t>
  </si>
  <si>
    <t>METRO TECNOLOGIA, SRL.</t>
  </si>
  <si>
    <t>Lib. No.1301</t>
  </si>
  <si>
    <t>GOB-01-05355</t>
  </si>
  <si>
    <t>Sistema de Cámara de Vigilancia CCTV-IP Incluye: DVR 32CH 1080P. Disco Sata 2TB, Cámaras 3.6mm, Fuente, Materiales y Mano de Obra.</t>
  </si>
  <si>
    <t>2K01C8DPAMV3R50</t>
  </si>
  <si>
    <t>Lib. No.1544</t>
  </si>
  <si>
    <t>GOB-01-05356</t>
  </si>
  <si>
    <r>
      <t xml:space="preserve">Tarimas Plásticas: Tipo plataforma, resistente, con capacidad de carga estática de 1,500 kg. Dimensión 1x20x1.     </t>
    </r>
    <r>
      <rPr>
        <sz val="10"/>
        <color indexed="10"/>
        <rFont val="Arial"/>
        <family val="2"/>
      </rPr>
      <t>Cantidad: 16 Unidades.</t>
    </r>
  </si>
  <si>
    <t xml:space="preserve">ALMACEN REGIONAL DE
MEDICAMENTOS REGION 0
SANTO DOMINGO
</t>
  </si>
  <si>
    <t>GOB-01-05357</t>
  </si>
  <si>
    <r>
      <t xml:space="preserve">Tarimas Plásticas: Tipo plataforma, resistente, con capacidad de carga estática de 1,500 kg. Dimensión 1x20x1.     </t>
    </r>
    <r>
      <rPr>
        <sz val="10"/>
        <color indexed="10"/>
        <rFont val="Arial"/>
        <family val="2"/>
      </rPr>
      <t>Cantidad: 12 Unidades.</t>
    </r>
  </si>
  <si>
    <t xml:space="preserve">ALMACEN REGIONAL DE 
MEDICAMENTOS REGION II
SANTIAGO
</t>
  </si>
  <si>
    <t>GOB-01-05358</t>
  </si>
  <si>
    <t>San Pedro de Macorís</t>
  </si>
  <si>
    <t>ALMACEN REGIONAL DE 
MEDICAMENTOS REGION IV
SAN P. DE MACORIS</t>
  </si>
  <si>
    <t>GOB-01-05359</t>
  </si>
  <si>
    <t>Vicente Noble</t>
  </si>
  <si>
    <t xml:space="preserve">ALMACEN REGIONAL DE 
MEDICAMENTOS REGION V
BARAHONA
</t>
  </si>
  <si>
    <t>Lib. No.1579</t>
  </si>
  <si>
    <t>GOB-01-05360</t>
  </si>
  <si>
    <r>
      <t xml:space="preserve">Estantes Metálicos de 5 Bandejas con refuerzo de bandeja incluido. Dimensión: 2mts x 0.60cm x 40cm MTS.
</t>
    </r>
    <r>
      <rPr>
        <sz val="10"/>
        <color indexed="10"/>
        <rFont val="Arial"/>
        <family val="2"/>
      </rPr>
      <t>Cantidad: 1 Unidades.</t>
    </r>
  </si>
  <si>
    <t>TRAMERIAS Y SOLUCIONES DE ALMACENAJE T.S.A. S.R.L.</t>
  </si>
  <si>
    <t>GOB-01-05361</t>
  </si>
  <si>
    <r>
      <t xml:space="preserve">Estantes Metálicos de 5 Bandejas con refuerzo de bandeja incluido. Dimensión: 2mts x 0.80cm x 40cm MTS.
</t>
    </r>
    <r>
      <rPr>
        <sz val="10"/>
        <color indexed="10"/>
        <rFont val="Arial"/>
        <family val="2"/>
      </rPr>
      <t>Cantidad: 18 Unidades.</t>
    </r>
  </si>
  <si>
    <t>GOB-01-05362</t>
  </si>
  <si>
    <r>
      <t xml:space="preserve">Estantes Metálicos de 5 Bandejas con refuerzo de bandeja incluido. Dimensión: 2mts x 100cm x 40cm MTS.
</t>
    </r>
    <r>
      <rPr>
        <sz val="10"/>
        <color indexed="10"/>
        <rFont val="Arial"/>
        <family val="2"/>
      </rPr>
      <t>Cantidad: 99 Unidades.</t>
    </r>
  </si>
  <si>
    <t>GOB-01-05363</t>
  </si>
  <si>
    <r>
      <t xml:space="preserve">Estantes Metálicos de 5 Bandejas con refuerzo de bandeja incluido. Dimensión: 2mts x 0.80cm x 40cm MTS.
</t>
    </r>
    <r>
      <rPr>
        <sz val="10"/>
        <color indexed="10"/>
        <rFont val="Arial"/>
        <family val="2"/>
      </rPr>
      <t>Cantidad: 4 Unidades.</t>
    </r>
  </si>
  <si>
    <t>GOB-01-05364</t>
  </si>
  <si>
    <r>
      <t xml:space="preserve">Estantes Metálicos de 5 Bandejas con refuerzo de bandeja incluido. Dimensión: 2mts x 100cm x 40cm MTS.
</t>
    </r>
    <r>
      <rPr>
        <sz val="10"/>
        <color indexed="10"/>
        <rFont val="Arial"/>
        <family val="2"/>
      </rPr>
      <t>Cantidad: 62 Unidades.</t>
    </r>
  </si>
  <si>
    <t>GOB-01-05368</t>
  </si>
  <si>
    <r>
      <t xml:space="preserve">Estantes Metálicos de 5 Bandejas con refuerzo de bandeja incluido. Dimensión: 2mts x 0.60cm x 40cm MTS.
</t>
    </r>
    <r>
      <rPr>
        <sz val="10"/>
        <color indexed="10"/>
        <rFont val="Arial"/>
        <family val="2"/>
      </rPr>
      <t>Cantidad: 9 Unidades.</t>
    </r>
  </si>
  <si>
    <t>GOB-01-05369</t>
  </si>
  <si>
    <r>
      <t xml:space="preserve">Estantes Metálicos de 5 Bandejas con refuerzo de bandeja incluido. Dimensión: 2mts x 0.80cm x 40cm MTS.
</t>
    </r>
    <r>
      <rPr>
        <sz val="10"/>
        <color indexed="10"/>
        <rFont val="Arial"/>
        <family val="2"/>
      </rPr>
      <t>Cantidad: 15 Unidades.</t>
    </r>
  </si>
  <si>
    <t>GOB-01-05370</t>
  </si>
  <si>
    <r>
      <t xml:space="preserve">Estantes Metálicos de 5 Bandejas con refuerzo de bandeja incluido. Dimensión: 2mts x 100cm x 40cm MTS.
</t>
    </r>
    <r>
      <rPr>
        <sz val="10"/>
        <color indexed="10"/>
        <rFont val="Arial"/>
        <family val="2"/>
      </rPr>
      <t>Cantidad: 101 Unidades.</t>
    </r>
  </si>
  <si>
    <t>GOB-01-05365</t>
  </si>
  <si>
    <r>
      <t xml:space="preserve">Estantes Metálicos de 5 Bandejas con refuerzo de bandeja incluido. Dimensión: 2mts x 0.60cm x 40cm MTS.
</t>
    </r>
    <r>
      <rPr>
        <sz val="10"/>
        <color indexed="10"/>
        <rFont val="Arial"/>
        <family val="2"/>
      </rPr>
      <t>Cantidad: 4 Unidades.</t>
    </r>
  </si>
  <si>
    <t>GOB-01-05366</t>
  </si>
  <si>
    <r>
      <t xml:space="preserve">Estantes Metálicos de 5 Bandejas con refuerzo de bandeja incluido. Dimensión: 2mts x 0.80cm x 40cm MTS.
</t>
    </r>
    <r>
      <rPr>
        <sz val="10"/>
        <color indexed="10"/>
        <rFont val="Arial"/>
        <family val="2"/>
      </rPr>
      <t>Cantidad: 6 Unidades.</t>
    </r>
  </si>
  <si>
    <t>GOB-01-05367</t>
  </si>
  <si>
    <r>
      <t xml:space="preserve">Estantes Metálicos de 5 Bandejas con refuerzo de bandeja incluido. Dimensión: 2mts x 100cm x 40cm MTS.
</t>
    </r>
    <r>
      <rPr>
        <sz val="10"/>
        <color indexed="10"/>
        <rFont val="Arial"/>
        <family val="2"/>
      </rPr>
      <t>Cantidad: 100 Unidades.</t>
    </r>
  </si>
  <si>
    <t>Lib. No.1860</t>
  </si>
  <si>
    <t>GOB-01-05371</t>
  </si>
  <si>
    <t>Carro Plataforma para Transporte de Cajas Dimensión: 24" x 48" 750Lbs.</t>
  </si>
  <si>
    <t>Mod. 40124</t>
  </si>
  <si>
    <t>FERRETERIA POPULAR, S.R.L.</t>
  </si>
  <si>
    <t>GOB-01-05372</t>
  </si>
  <si>
    <t>GOB-01-05373</t>
  </si>
  <si>
    <t>GOB-01-05374</t>
  </si>
  <si>
    <t>GOB-01-05375</t>
  </si>
  <si>
    <t>GOB-01-05376</t>
  </si>
  <si>
    <t>GOB-01-05377</t>
  </si>
  <si>
    <t>GOB-01-05378</t>
  </si>
  <si>
    <t>GOB-01-05379</t>
  </si>
  <si>
    <t>GOB-01-05380</t>
  </si>
  <si>
    <t>Abanico de Techo KDK sin Globo.                        Color: Blanco.</t>
  </si>
  <si>
    <t>Mod. B56XL/5</t>
  </si>
  <si>
    <t>GOB-01-05381</t>
  </si>
  <si>
    <t>Abanico de Techo KDK sin Globo.                       Color: Blanco.</t>
  </si>
  <si>
    <t>GOB-01-05382</t>
  </si>
  <si>
    <t>Abanico de Techo KDK sin Globo.                     Color: Blanco.</t>
  </si>
  <si>
    <t>GOB-01-05383</t>
  </si>
  <si>
    <t>Abanico de Techo KDK sin Globo.                    Color: Blanco.</t>
  </si>
  <si>
    <t>GOB-01-05384</t>
  </si>
  <si>
    <t>Zafacón Plástico con Tapa y Rueda.            Rubbernad. Color: Amarillo con Negro. 50gl.</t>
  </si>
  <si>
    <t>Mod. 9W2700</t>
  </si>
  <si>
    <t>GOB-01-05385</t>
  </si>
  <si>
    <t>GOB-01-05386</t>
  </si>
  <si>
    <t>GOB-01-05387</t>
  </si>
  <si>
    <t>GOB-01-05388</t>
  </si>
  <si>
    <t>Zafacón Plástico con Tapa y Rueda.            Rubbernad. Color Amarillo con Negro. 50gl.</t>
  </si>
  <si>
    <t>GOB-01-05389</t>
  </si>
  <si>
    <t>GOB-01-05390</t>
  </si>
  <si>
    <t>GOB-01-05391</t>
  </si>
  <si>
    <t>Carro Metálico de 3 Niveles en Acero Inoxidable. 18" x 28" P/Recogida de Pedido.</t>
  </si>
  <si>
    <t>Mod. BC4-3</t>
  </si>
  <si>
    <t>GOB-01-05392</t>
  </si>
  <si>
    <t>GOB-01-05393</t>
  </si>
  <si>
    <t>GOB-01-05394</t>
  </si>
  <si>
    <t>GOB-01-05395</t>
  </si>
  <si>
    <t>GOB-01-05396</t>
  </si>
  <si>
    <t>GOB-01-05399</t>
  </si>
  <si>
    <t>Escalera de 3 Peldaño Metálica y Plegable.</t>
  </si>
  <si>
    <t>GOB-01-05400</t>
  </si>
  <si>
    <t>GOB-01-05401</t>
  </si>
  <si>
    <t>GOB-01-05402</t>
  </si>
  <si>
    <t>GOB-01-05403</t>
  </si>
  <si>
    <t>GOB-01-05404</t>
  </si>
  <si>
    <t>GOB-01-05405</t>
  </si>
  <si>
    <t>GOB-01-05406</t>
  </si>
  <si>
    <t>Lib. No. 1868</t>
  </si>
  <si>
    <t>GOB-02-01615</t>
  </si>
  <si>
    <t>Computador Dell Optiplex 7010. Incluye: Monitor Dell 1916H, Mouse y Teclado.</t>
  </si>
  <si>
    <t>CPU: 37DHCY1  Monitor: D2D35D2</t>
  </si>
  <si>
    <t>GOB-02-01616</t>
  </si>
  <si>
    <t>CPU: HPKV7Y1  Monitor: 4RB35D2</t>
  </si>
  <si>
    <t>GOB-02-01617</t>
  </si>
  <si>
    <t>CPU: 82MGBZ1  Monitor: 46D35D2</t>
  </si>
  <si>
    <t>GOB-02-01618</t>
  </si>
  <si>
    <t>CPU: 82LFBZ1  Monitor: FL1C5D2</t>
  </si>
  <si>
    <t>GOB-02-01621</t>
  </si>
  <si>
    <t>CPU: 6LS0BZ1  Monitor: 5CC35D2</t>
  </si>
  <si>
    <t>GOB-02-01622</t>
  </si>
  <si>
    <t>CPU: HPFB8Y1  Monitor: 9FB35D2</t>
  </si>
  <si>
    <t>GOB-02-01623</t>
  </si>
  <si>
    <t>Impresora LaserJet Pro MFP M227FDW Multifuncional</t>
  </si>
  <si>
    <t>VNB3C34120</t>
  </si>
  <si>
    <t>GOB-02-01624</t>
  </si>
  <si>
    <t>VNB3C34085</t>
  </si>
  <si>
    <t>GOB-02-01626</t>
  </si>
  <si>
    <t>VNB3C34136</t>
  </si>
  <si>
    <t>GOB-02-01627</t>
  </si>
  <si>
    <t>UPS FORZA 750VA</t>
  </si>
  <si>
    <t>170722509325</t>
  </si>
  <si>
    <t>GOB-02-01628</t>
  </si>
  <si>
    <t>170722509326</t>
  </si>
  <si>
    <t>GOB-02-01629</t>
  </si>
  <si>
    <t>170722509327</t>
  </si>
  <si>
    <t>GOB-02-01630</t>
  </si>
  <si>
    <t>170722509328</t>
  </si>
  <si>
    <t>GOB-02-01631</t>
  </si>
  <si>
    <t>170722509457</t>
  </si>
  <si>
    <t>GOB-02-01632</t>
  </si>
  <si>
    <t>170722509458</t>
  </si>
  <si>
    <t>Lib. No.1872</t>
  </si>
  <si>
    <t>GOB-01-05407</t>
  </si>
  <si>
    <t>Locker Metálico de 8 Casilleros.</t>
  </si>
  <si>
    <t>LEON GONZALEZ,SRL.</t>
  </si>
  <si>
    <t>GOB-01-05408</t>
  </si>
  <si>
    <t>Archivo Modular de 3 Gavetas, Metálico, Color Gris</t>
  </si>
  <si>
    <t>GOB-01-05409</t>
  </si>
  <si>
    <t>GOB-01-05410</t>
  </si>
  <si>
    <t>GOB-01-05411</t>
  </si>
  <si>
    <t>GOB-01-05412</t>
  </si>
  <si>
    <t>Silla Secretarial en Tela Negra con Brazos</t>
  </si>
  <si>
    <t>GOB-01-05413</t>
  </si>
  <si>
    <t>GOB-01-05414</t>
  </si>
  <si>
    <t>Escritorio en Melanina 120 x 60 en L</t>
  </si>
  <si>
    <t>GOB-01-05415</t>
  </si>
  <si>
    <t>GOB-01-05416</t>
  </si>
  <si>
    <t>GOB-01-05417</t>
  </si>
  <si>
    <t>GOB-01-05418</t>
  </si>
  <si>
    <t>Sillón Semi-Ejecutivo en Tela Negra, Giratorio.</t>
  </si>
  <si>
    <t>GOB-01-05419</t>
  </si>
  <si>
    <t>GOB-01-05420</t>
  </si>
  <si>
    <t>GOB-01-05421</t>
  </si>
  <si>
    <t>Lib. No. 1874</t>
  </si>
  <si>
    <t>GOB-01-05422</t>
  </si>
  <si>
    <t>Mesa Desmontable en Resina y Estructura Metálica. Dimensión: 30 x 73 x 30</t>
  </si>
  <si>
    <t>COMPU-OFFICE DOMINICANA, SRL.</t>
  </si>
  <si>
    <t>GOB-01-05423</t>
  </si>
  <si>
    <t>GOB-01-05424</t>
  </si>
  <si>
    <t>GOB-01-05425</t>
  </si>
  <si>
    <t>Silla Star Plegadiza en Resina y Estructura Metálica</t>
  </si>
  <si>
    <t>GOB-01-05426</t>
  </si>
  <si>
    <t>GOB-01-05429</t>
  </si>
  <si>
    <t>GOB-01-05430</t>
  </si>
  <si>
    <t>GOB-01-05431</t>
  </si>
  <si>
    <t>Archivo Vertical de 4 Gavetas, Metálico, Color Gris</t>
  </si>
  <si>
    <t>GOB-01-05432</t>
  </si>
  <si>
    <t>GOB-01-05434</t>
  </si>
  <si>
    <t>Lib. No. 1843</t>
  </si>
  <si>
    <t>GOB-01-05435</t>
  </si>
  <si>
    <t>Extintor de Fuego ABC Amerex de 10 Lbs.</t>
  </si>
  <si>
    <t>TORIBIO MONES, SRL.</t>
  </si>
  <si>
    <t>GOB-01-05436</t>
  </si>
  <si>
    <t>GOB-01-05437</t>
  </si>
  <si>
    <t>GOB-01-05438</t>
  </si>
  <si>
    <t>GOB-01-05439</t>
  </si>
  <si>
    <t>GOB-01-05440</t>
  </si>
  <si>
    <t>GOB-01-05441</t>
  </si>
  <si>
    <t>Lib. No. 2116</t>
  </si>
  <si>
    <t>GOB-01-05442</t>
  </si>
  <si>
    <t>Aire Acondicionado Inverter de 60,000 BTU Marca: Everwell. Incluye: Toda la ductería y la Instalación de las nueve (9) Unidades Adquiridas.</t>
  </si>
  <si>
    <t>Instalado</t>
  </si>
  <si>
    <t>INVERPACK, SRL.</t>
  </si>
  <si>
    <t>GOB-01-05443</t>
  </si>
  <si>
    <t>Aire Acondicionado Inverter de 60,000 BTU Marca: Everwell.</t>
  </si>
  <si>
    <t>GOB-01-05444</t>
  </si>
  <si>
    <t>GOB-01-05445</t>
  </si>
  <si>
    <t>Unidad de Población Clave</t>
  </si>
  <si>
    <t>GOB-01-05446</t>
  </si>
  <si>
    <t>Unidad de Atención Integral</t>
  </si>
  <si>
    <t>HOSPITAL GENERAL POLICIA NACIONAL</t>
  </si>
  <si>
    <t>GOB-01-05447</t>
  </si>
  <si>
    <t>GOB-01-05448</t>
  </si>
  <si>
    <t>GOB-01-05449</t>
  </si>
  <si>
    <t>GOB-01-05450</t>
  </si>
  <si>
    <t>Aire Acondicionado Inverter de 36,000 BTU  Marca: Everwell.</t>
  </si>
  <si>
    <t>Lib. No. 1987</t>
  </si>
  <si>
    <t>GOB-03-00043</t>
  </si>
  <si>
    <t>Camioneta Nissan Frontier NP300. Año 2018  placa: EL07380</t>
  </si>
  <si>
    <t>Chasis No.            3N6CD33B2ZK385967</t>
  </si>
  <si>
    <t>GOB-03-00044</t>
  </si>
  <si>
    <t>Camioneta Nissan Frontier NP300. Año 2018  placa: EL07379</t>
  </si>
  <si>
    <t>Chasis No.            3N6CD33B7ZK385978</t>
  </si>
  <si>
    <t>GOB-03-00045</t>
  </si>
  <si>
    <t>Camioneta Nissan Frontier NP300. Año 2018  placa: EL07381</t>
  </si>
  <si>
    <t>Chasis No.            3N6CD33B1ZK386107</t>
  </si>
  <si>
    <t>GOB-03-00046</t>
  </si>
  <si>
    <t>Camioneta Nissan Frontier NP300. Año 2018 placa: EL07382</t>
  </si>
  <si>
    <t>Chasis No.            3N6CD33B6ZK383039</t>
  </si>
  <si>
    <t>Lib. No. 1969</t>
  </si>
  <si>
    <t>GOB-02-01635</t>
  </si>
  <si>
    <t>Impresora LaserJet Pro MFP M227FDW Multifuncional.</t>
  </si>
  <si>
    <t>VNB3M03156</t>
  </si>
  <si>
    <t>Oficina Libre Acceso a la Información</t>
  </si>
  <si>
    <t>FL BETANCES &amp; ASOCIADOS, S.A.</t>
  </si>
  <si>
    <t>Lib. No.2180</t>
  </si>
  <si>
    <t>GOB-01-05451</t>
  </si>
  <si>
    <t>Televisor Panasonic 32" LED SMART</t>
  </si>
  <si>
    <t>EXBA60510363</t>
  </si>
  <si>
    <t>OFFICE DEPOT DOMINICANA CORP.</t>
  </si>
  <si>
    <t>Lib. No.2182</t>
  </si>
  <si>
    <t>GOB-01-05452</t>
  </si>
  <si>
    <t>Videocámara Profesional Sony HXR-MC2500 AVCHD 12x Zoom. Incluye: 3 Bateria NP-F570, Cargador, Adaptador AC, Cable USB, Microfono, Parasol, Difusor de Luz, Copa de Visor, Tapa de Lente, Cover Protector P/Lluvia, Bulto, 2 Memoria Scandisk 64GB.</t>
  </si>
  <si>
    <t>LR CAMARAS SHOP, S.R.L.</t>
  </si>
  <si>
    <t>GOB-01-05453</t>
  </si>
  <si>
    <t>Paneles de Luces Led Neewer CN-160 para Video 160 Bombillas Led, Graduación de Intensidad, Filtro Gris y Naranja. Incluye: Bateria Kastar Tipo NP-F570 y Cargador Genérico. Cantidad: 2 Unidades.</t>
  </si>
  <si>
    <t>GOB-01-05454</t>
  </si>
  <si>
    <t>Sistema de Micrófonos Inalambrico Saramonic UWMIC9. Incluye: 1x Receptor, 2x Emisores, 2x Microfono Lavalier, 1x Cable de Audio 3.5mm, 1x Adaptador XLR a 3.5mm</t>
  </si>
  <si>
    <t>Lib. No.2199</t>
  </si>
  <si>
    <t>GOB-02-01637</t>
  </si>
  <si>
    <t>Apple iMAC MNE92LL/A 27 Pulgada</t>
  </si>
  <si>
    <t>CO2VN34QJ1GG</t>
  </si>
  <si>
    <t>GOB-02-01639</t>
  </si>
  <si>
    <t>Laptop Dell Inspiron I5 5567</t>
  </si>
  <si>
    <t>3Q0FJ22</t>
  </si>
  <si>
    <t xml:space="preserve">Prensa y Relaciones Pública </t>
  </si>
  <si>
    <t>GOB-02-01638</t>
  </si>
  <si>
    <t>1WSHJ22</t>
  </si>
  <si>
    <t>Prensa y Relaciones Pública / Sugey de Jesús</t>
  </si>
  <si>
    <t>GOB-02-01640</t>
  </si>
  <si>
    <t>AWRHC56102</t>
  </si>
  <si>
    <t>GOB-02-01641</t>
  </si>
  <si>
    <t>AWRHF08993</t>
  </si>
  <si>
    <t>Monitores Financieros</t>
  </si>
  <si>
    <t>GOB-02-01642</t>
  </si>
  <si>
    <t>AWRHF08495</t>
  </si>
  <si>
    <t>Depto. De Adquisiciones   Damaris Mesa</t>
  </si>
  <si>
    <t>Lib. No.73-1</t>
  </si>
  <si>
    <t>GOB-03-00047</t>
  </si>
  <si>
    <t>JTEBU4JR005508257</t>
  </si>
  <si>
    <t>DELTA COMERCIAL, S.A.</t>
  </si>
  <si>
    <t>Lib. No.255</t>
  </si>
  <si>
    <t>GOB-01-05455</t>
  </si>
  <si>
    <t>Máquina Dispensadora de Condones con Sistema de Monedas. Dimensión: 75 x 12 x 16cm.</t>
  </si>
  <si>
    <t xml:space="preserve">PRO-FAMILIA
SANTO DOMINGO, GAZCUE
</t>
  </si>
  <si>
    <t>R TIRADO SOLUTION SERVICES, SRL.</t>
  </si>
  <si>
    <t>GOB-01-05456</t>
  </si>
  <si>
    <t>GOB-01-05457</t>
  </si>
  <si>
    <t>GOB-01-05458</t>
  </si>
  <si>
    <t>GOB-01-05459</t>
  </si>
  <si>
    <t>GOB-01-05460</t>
  </si>
  <si>
    <t>GOB-01-05461</t>
  </si>
  <si>
    <t>GOB-01-05462</t>
  </si>
  <si>
    <t>GOB-01-05463</t>
  </si>
  <si>
    <t>GOB-01-05464</t>
  </si>
  <si>
    <t>GOB-01-05465</t>
  </si>
  <si>
    <t>GOB-01-05466</t>
  </si>
  <si>
    <t>GOB-01-05467</t>
  </si>
  <si>
    <t>GOB-01-05468</t>
  </si>
  <si>
    <t>GOB-01-05469</t>
  </si>
  <si>
    <t>GOB-01-05470</t>
  </si>
  <si>
    <t>GOB-01-05471</t>
  </si>
  <si>
    <t>GOB-01-05472</t>
  </si>
  <si>
    <t>GOB-01-05473</t>
  </si>
  <si>
    <t>GOB-01-05474</t>
  </si>
  <si>
    <t>GOB-01-05475</t>
  </si>
  <si>
    <t>GOB-01-05476</t>
  </si>
  <si>
    <t>GOB-01-05477</t>
  </si>
  <si>
    <t>GOB-01-05478</t>
  </si>
  <si>
    <t>GOB-01-05479</t>
  </si>
  <si>
    <t>GOB-01-05480</t>
  </si>
  <si>
    <t>GOB-01-05481</t>
  </si>
  <si>
    <t>GOB-01-05482</t>
  </si>
  <si>
    <t>GOB-01-05483</t>
  </si>
  <si>
    <t>GOB-01-05484</t>
  </si>
  <si>
    <t>GOB-01-05485</t>
  </si>
  <si>
    <t>GOB-01-05486</t>
  </si>
  <si>
    <t>GOB-01-05487</t>
  </si>
  <si>
    <t>GOB-01-05488</t>
  </si>
  <si>
    <t>GOB-01-05489</t>
  </si>
  <si>
    <t>Lib. No.470</t>
  </si>
  <si>
    <t>GOB-01-05492</t>
  </si>
  <si>
    <t>Nevera Ejecutiva Frigidaire 4.5” Pies Cúbico. Modelo: FRD04G3HPI. Color: Acero/Negro</t>
  </si>
  <si>
    <t>Lib. No.600</t>
  </si>
  <si>
    <t>GOB-02-01644</t>
  </si>
  <si>
    <t>Computador Dell Optiplex 3050</t>
  </si>
  <si>
    <t>CPU: 60TSWK2    MONITOR: CN-OKJ5TR-FC000-7BR-AA36</t>
  </si>
  <si>
    <r>
      <t xml:space="preserve">Donada al Jóven       </t>
    </r>
    <r>
      <rPr>
        <b/>
        <sz val="10"/>
        <rFont val="Arial"/>
        <family val="2"/>
      </rPr>
      <t>Dalfi De la Cruz</t>
    </r>
  </si>
  <si>
    <t>Lib. No.686 Pagado en Junio, 2017</t>
  </si>
  <si>
    <t>GOB-01-05493</t>
  </si>
  <si>
    <t>Archivo Modular de 3 Gavetas, Color Gris</t>
  </si>
  <si>
    <t>Consultoría Jurídica      Maria Castillo( Tatis)</t>
  </si>
  <si>
    <t>ACTUALIDADES VD, SRL.</t>
  </si>
  <si>
    <t>GOB-01-05499</t>
  </si>
  <si>
    <t>Butaca de Visita en Pielina Negra y Base Niquelada.</t>
  </si>
  <si>
    <t>Planificación y Desarrollo   Nelson Belisario</t>
  </si>
  <si>
    <t>GOB-01-05500</t>
  </si>
  <si>
    <t>Lib. No.1152</t>
  </si>
  <si>
    <t>GOB-01-05501</t>
  </si>
  <si>
    <t xml:space="preserve">Abanico Enfriador Portátil, Color Gris, Marca: Honeywell, Modelo: CL201AE
</t>
  </si>
  <si>
    <t>1608/0002167</t>
  </si>
  <si>
    <t>GOB-01-05502</t>
  </si>
  <si>
    <t>1612/0003531</t>
  </si>
  <si>
    <t>GOB-01-05503</t>
  </si>
  <si>
    <t>Lib. No.1172 Pagado en Sept., 2017</t>
  </si>
  <si>
    <t>GOB-01-05504</t>
  </si>
  <si>
    <t>Cortinas Enrollable Blackout en Vinil, Color Crema. Cantidad: 27 Unidades.</t>
  </si>
  <si>
    <t>Almacén (20) Monitores Financiero (3). Coord. Admtva. (2). Población Clave (2).</t>
  </si>
  <si>
    <t xml:space="preserve">Almacenes  San cristobal </t>
  </si>
  <si>
    <t>INTERDECO, SRL.</t>
  </si>
  <si>
    <t>GOB-01-05505</t>
  </si>
  <si>
    <t>Credenza en Melamina Color Haya, Puertas. Corrediza.</t>
  </si>
  <si>
    <t>Mod. LM-644</t>
  </si>
  <si>
    <t>Sillón Ejecutivo en Pielina, Color Negro y Base Niquelada.</t>
  </si>
  <si>
    <t>GOB-01-05509</t>
  </si>
  <si>
    <t>Estante Tipo Librero en Madera, Color Cerezo, Dos Tramos y Dos Puertas Bajas</t>
  </si>
  <si>
    <t>Mod. LM-VE1402</t>
  </si>
  <si>
    <t>GOB-01-05510</t>
  </si>
  <si>
    <t>GOB-01-05511</t>
  </si>
  <si>
    <t>GOB-01-05512</t>
  </si>
  <si>
    <t>Mod. LM-VE1402 / USADO</t>
  </si>
  <si>
    <t>GOB-01-05513</t>
  </si>
  <si>
    <t>Credenza en Madera Enchapada, Con Puertas Abatibles y Cristal</t>
  </si>
  <si>
    <t>Mod. LM-G6816   Dimención: 158 cm</t>
  </si>
  <si>
    <t>GOB-01-05514</t>
  </si>
  <si>
    <t>Escritorio en L, Tope Melanina y Estructura Metalica Color Gris y Pata Tubular</t>
  </si>
  <si>
    <t>Mod. LM-E162</t>
  </si>
  <si>
    <t>GOB-01-05515</t>
  </si>
  <si>
    <t xml:space="preserve">Prensa y Relaciones Pública                          </t>
  </si>
  <si>
    <t>GOB-01-05516</t>
  </si>
  <si>
    <t>Credenza en Caoba con Puerta y Gavetas. Dimension: 16 x 43.</t>
  </si>
  <si>
    <t>120 cm Largo x 0.50 cm Ancho x 0.76 cm Altura</t>
  </si>
  <si>
    <t>GOB-01-05517</t>
  </si>
  <si>
    <t xml:space="preserve">      Planificación y Desarrollo  Francisco Eusebio  </t>
  </si>
  <si>
    <t>GOB-01-05518</t>
  </si>
  <si>
    <t xml:space="preserve">Prensa y Relaciones Pública                           </t>
  </si>
  <si>
    <t>GOB-01-05519</t>
  </si>
  <si>
    <t xml:space="preserve">Prensa y Relaciones Pública                         </t>
  </si>
  <si>
    <t>GOB-01-05520</t>
  </si>
  <si>
    <t>Unidad de Población Clave                              Rancier</t>
  </si>
  <si>
    <t>GOB-01-05521</t>
  </si>
  <si>
    <t xml:space="preserve">Monitores Financieros  Licelotte Calvajal </t>
  </si>
  <si>
    <t>GOB-01-05522</t>
  </si>
  <si>
    <t xml:space="preserve">          Gestión Humana </t>
  </si>
  <si>
    <t>GOB-01-05523</t>
  </si>
  <si>
    <t>GOB-01-05524</t>
  </si>
  <si>
    <t>GOB-01-05525</t>
  </si>
  <si>
    <t xml:space="preserve">Coordinación Administrativa         Miriam J. Beaz </t>
  </si>
  <si>
    <t>GOB-01-05526</t>
  </si>
  <si>
    <t>Unidad de Población Clave                     Waddy Ramirez</t>
  </si>
  <si>
    <t>GOB-01-05527</t>
  </si>
  <si>
    <t>GOB-01-05528</t>
  </si>
  <si>
    <t>GOB-01-05529</t>
  </si>
  <si>
    <t>Mesa de Centro con Tope de Cristal y Base Metálica. Dimensión: 24 x 36 x 16</t>
  </si>
  <si>
    <t xml:space="preserve">Mod. OF-146 </t>
  </si>
  <si>
    <t>Gerencia Tecnica  Melvin Brioso</t>
  </si>
  <si>
    <t>GOB-01-05537</t>
  </si>
  <si>
    <t>GOB-01-05540</t>
  </si>
  <si>
    <t>Unidad Población Clave  Raziel Zayas</t>
  </si>
  <si>
    <t>GOB-01-05541</t>
  </si>
  <si>
    <t>GOB-01-05542</t>
  </si>
  <si>
    <t>GOB-01-05543</t>
  </si>
  <si>
    <t>GOB-01-05544</t>
  </si>
  <si>
    <t>GOB-01-05545</t>
  </si>
  <si>
    <t>GOB-01-05546</t>
  </si>
  <si>
    <t>GOB-01-05547</t>
  </si>
  <si>
    <t>GOB-01-05548</t>
  </si>
  <si>
    <t>Mesa de Conferencia en Caoba en Forma de U. Dimensión: 4.45 x 3.70</t>
  </si>
  <si>
    <r>
      <t xml:space="preserve">GOB-01-05549(SIAB) </t>
    </r>
    <r>
      <rPr>
        <b/>
        <sz val="10"/>
        <rFont val="Arial"/>
        <family val="2"/>
      </rPr>
      <t>GOBDOM-02-01822</t>
    </r>
  </si>
  <si>
    <r>
      <t xml:space="preserve">GOB-01-05550(SIAB) </t>
    </r>
    <r>
      <rPr>
        <b/>
        <sz val="10"/>
        <rFont val="Arial"/>
        <family val="2"/>
      </rPr>
      <t>GOBDOM-02-01823</t>
    </r>
  </si>
  <si>
    <t>GOB-01-05551</t>
  </si>
  <si>
    <t>GOB-01-05552</t>
  </si>
  <si>
    <t>GOB-01-05553</t>
  </si>
  <si>
    <t>GOB-01-05554</t>
  </si>
  <si>
    <t>GOB-01-05555</t>
  </si>
  <si>
    <t>GOB-01-05556</t>
  </si>
  <si>
    <t>GOB-01-05557</t>
  </si>
  <si>
    <t>GOB-01-05558</t>
  </si>
  <si>
    <t>Modesto Peña</t>
  </si>
  <si>
    <t>ASOCIACION DE AJEDREZ DE BARAHONA</t>
  </si>
  <si>
    <t>Lib. No.760</t>
  </si>
  <si>
    <t>GOB-02-01645</t>
  </si>
  <si>
    <t>Disco Duro Externo de 1 TB Ext. 2.5" Seagata Backup Plus USB 3.0</t>
  </si>
  <si>
    <t>NA9CS904</t>
  </si>
  <si>
    <t>Prensa y Relaciones Pública                 Santiago de Aza</t>
  </si>
  <si>
    <t>GOB-02-01646</t>
  </si>
  <si>
    <t>NA9CS96C</t>
  </si>
  <si>
    <t xml:space="preserve">Lib. No.860 </t>
  </si>
  <si>
    <t>GOB-01-05563</t>
  </si>
  <si>
    <t>Mod. LM-G6816</t>
  </si>
  <si>
    <t>Lib. No.996</t>
  </si>
  <si>
    <t>GOB-02-01647</t>
  </si>
  <si>
    <t>Servidor HPE ProLaint DL360 Gen 10 (Servidor para Virtualización)</t>
  </si>
  <si>
    <t>MXQ82704XF</t>
  </si>
  <si>
    <t>Unidad de Tecnología  Cuarto de Servidores</t>
  </si>
  <si>
    <t>H&amp;H SOLUTION, SRL.</t>
  </si>
  <si>
    <t>Lib. No.998</t>
  </si>
  <si>
    <t>GOB-02-01648</t>
  </si>
  <si>
    <t>Servidor de Almacenamiento Centralizado HPE StoreEasy</t>
  </si>
  <si>
    <t>MXQ83404T6</t>
  </si>
  <si>
    <t>MULTICOMPUTOS, SRL.</t>
  </si>
  <si>
    <t>GOB-02-01649</t>
  </si>
  <si>
    <t>Software de Respaldo de Datos</t>
  </si>
  <si>
    <t>GOB-02-01650</t>
  </si>
  <si>
    <t>Unidad de Cinta HPE (Tape Backup)</t>
  </si>
  <si>
    <t>HUJ824AHMA</t>
  </si>
  <si>
    <t>Lib. No.1947</t>
  </si>
  <si>
    <t>GOB-01-05567</t>
  </si>
  <si>
    <t>Escritorio Tope Melamina y Estructura Metalica Color Silver</t>
  </si>
  <si>
    <t>GOB-01-05568</t>
  </si>
  <si>
    <t>Unidad de Población Clave                         Ramón Acevedo</t>
  </si>
  <si>
    <t>Lib. No.2012</t>
  </si>
  <si>
    <t>GOB-02-01651</t>
  </si>
  <si>
    <t>Impresora HP Multifuncional LaserJet M426FDW PRO 400</t>
  </si>
  <si>
    <t>PHBLL7R446</t>
  </si>
  <si>
    <t>GOB-02-01652</t>
  </si>
  <si>
    <t>Impresora HP Color Multifuncional LaserJet M477FDN PRO MFP</t>
  </si>
  <si>
    <t>VNBKL9PHDY</t>
  </si>
  <si>
    <t xml:space="preserve">Controles Internos        Gumercindo Cuevas </t>
  </si>
  <si>
    <t>GOB-01-05564</t>
  </si>
  <si>
    <t xml:space="preserve">Máquina Sumadora Sharp EL-2630PIII </t>
  </si>
  <si>
    <t>8D020705</t>
  </si>
  <si>
    <t xml:space="preserve">Controles Internos       Gumercindo Cuevas </t>
  </si>
  <si>
    <t>GOB-01-05565</t>
  </si>
  <si>
    <t>8D019458</t>
  </si>
  <si>
    <t>Controles Internos       Carlos Castillo</t>
  </si>
  <si>
    <t>GOB-01-05566</t>
  </si>
  <si>
    <t>8D020675</t>
  </si>
  <si>
    <t>Controles Internos       Yoel Mieses</t>
  </si>
  <si>
    <t>Lib. No.521-1</t>
  </si>
  <si>
    <t>GOB-02-01693</t>
  </si>
  <si>
    <t>Laptop Apple Macbook Pro 13.3". Incluye: Teclado y Mouse Apple Magic Inalámbrico.</t>
  </si>
  <si>
    <t>Laptop; C02Y35P6JHCD        Monitor: CN-0NO1VP-64180-23H-1MCS</t>
  </si>
  <si>
    <t xml:space="preserve">Gerencia tecnica               Santiago De Aza </t>
  </si>
  <si>
    <t>Lib. No.523-1</t>
  </si>
  <si>
    <t>GOB-02-01694</t>
  </si>
  <si>
    <t>Scanner Fujitsu Scan Snap iX1500</t>
  </si>
  <si>
    <t>C06H006710</t>
  </si>
  <si>
    <t xml:space="preserve"> Correspondencia   </t>
  </si>
  <si>
    <t>GOB-02-01695</t>
  </si>
  <si>
    <t>C06H006703</t>
  </si>
  <si>
    <t xml:space="preserve"> Coordinación Financiera Indhira Popoteur</t>
  </si>
  <si>
    <t>GOB-02-01696</t>
  </si>
  <si>
    <t>C06H006679</t>
  </si>
  <si>
    <t>GOB-02-01697</t>
  </si>
  <si>
    <t>Proyector Epson PowerLite S39 3300 Lúmenes</t>
  </si>
  <si>
    <t>X52M913802L</t>
  </si>
  <si>
    <t>GOB-02-01698</t>
  </si>
  <si>
    <t>X52M913872L</t>
  </si>
  <si>
    <t>Nelson Belisario</t>
  </si>
  <si>
    <t>Lib. No.599-1</t>
  </si>
  <si>
    <t>GOB-02-01699</t>
  </si>
  <si>
    <t>Impresora HP LaserJet Pro 400 Color MFP M477FD. Multifuncional.</t>
  </si>
  <si>
    <t>VNBKL9PHCF</t>
  </si>
  <si>
    <t>Unidad Población Clave</t>
  </si>
  <si>
    <t>Lib. No.688-1</t>
  </si>
  <si>
    <t>GOBDOM-04-00115</t>
  </si>
  <si>
    <t>Grabadora Olympus DM-720</t>
  </si>
  <si>
    <t>Prensa y Relaciones Públicas</t>
  </si>
  <si>
    <t>GOBDOM-04-00116</t>
  </si>
  <si>
    <t>Microfono USB Studio Condesador Marantz Professional MPM-1000U</t>
  </si>
  <si>
    <t>LPNRR688557253</t>
  </si>
  <si>
    <t>GOBDOM-02-01734</t>
  </si>
  <si>
    <t>Apple Ipad 6th Generación 128GB Wifi 9.7in Erly 2018</t>
  </si>
  <si>
    <t>SGG7X9SU2JF8M</t>
  </si>
  <si>
    <t xml:space="preserve">Prensa y Relaciones Públicas                      </t>
  </si>
  <si>
    <t>GOBDOM-02-01735</t>
  </si>
  <si>
    <t>SGG7XX4DTJF8M</t>
  </si>
  <si>
    <t>Prensa y Relaciones Públicas                      Sugey de Jesús</t>
  </si>
  <si>
    <t>GOBDOM-02-01736</t>
  </si>
  <si>
    <t>Impresora HP LaserJet Pro M281FDW Color. Multifuncional.</t>
  </si>
  <si>
    <t>VNBNM173MS</t>
  </si>
  <si>
    <t>Lib. No.1067-1</t>
  </si>
  <si>
    <t>GOBDOM-03-00048</t>
  </si>
  <si>
    <t>Bicicleta Aro 20 Tipo Mountain Bike P/Niña</t>
  </si>
  <si>
    <t>MONTVEST SERVICIOS DE INVERSION, SRL.</t>
  </si>
  <si>
    <t>GOBDOM-03-00049</t>
  </si>
  <si>
    <t>Bicicleta Aro 24 Tipo Mountain Bike P/Niño</t>
  </si>
  <si>
    <t>Lib. No.1279-1</t>
  </si>
  <si>
    <t>Sillón Ejecutivo en Pielina Negra y Base Niquelada.</t>
  </si>
  <si>
    <t>LEON GONZALEZ, S.R.L</t>
  </si>
  <si>
    <t>GOBDOM-01-05582</t>
  </si>
  <si>
    <t xml:space="preserve">Consultoría Jurídica     </t>
  </si>
  <si>
    <t>GOBDOM-01-05584</t>
  </si>
  <si>
    <t>GOBDOM-01-05586</t>
  </si>
  <si>
    <t>Butaca de Visita en Pielina Negra y Base Cromada</t>
  </si>
  <si>
    <t>Gerencia Técnica       Rosa Sánchez</t>
  </si>
  <si>
    <t>GOBDOM-01-05587</t>
  </si>
  <si>
    <t>GOBDOM-01-05588</t>
  </si>
  <si>
    <t>Unidad de Adquisiciones    Gisselle Otero</t>
  </si>
  <si>
    <t>GOBDOM-01-05589</t>
  </si>
  <si>
    <t>GOBDOM-01-05590</t>
  </si>
  <si>
    <t>Estante Tipo Librero con Puerta Baja en Melamina.</t>
  </si>
  <si>
    <t>GOBDOM-01-05591</t>
  </si>
  <si>
    <t xml:space="preserve">Acceso a la Información  </t>
  </si>
  <si>
    <t>GOBDOM-01-05592</t>
  </si>
  <si>
    <t>Escritorio en Melamina con Gavetas 100x50cm</t>
  </si>
  <si>
    <t xml:space="preserve">Prensa y Relaciones Públicas                 </t>
  </si>
  <si>
    <t>GOBDOM-01-05593</t>
  </si>
  <si>
    <t>GOBDOM-01-05594</t>
  </si>
  <si>
    <t>Escritorio en Melamina y Base Metálica 140x70cm</t>
  </si>
  <si>
    <t>GOBDOM-01-05595</t>
  </si>
  <si>
    <t>Sillón Técnico Secretarial en Malla y Soporte Lumbar y Color Negro</t>
  </si>
  <si>
    <t>Ante-Despacho                   Gisela García</t>
  </si>
  <si>
    <t>Almacen de Suministro</t>
  </si>
  <si>
    <t>GOBDOM-01-05612</t>
  </si>
  <si>
    <t>Coordinación Financiera    Welinton Mora</t>
  </si>
  <si>
    <t>GOBDOM-01-05613</t>
  </si>
  <si>
    <t>Coordinación Financiera   Aurora Moquete</t>
  </si>
  <si>
    <t>GOBDOM-01-05617</t>
  </si>
  <si>
    <t>Monitores Financieros   José Santana</t>
  </si>
  <si>
    <t>Lib. No.1310-1</t>
  </si>
  <si>
    <t>GOBDOM-04-00117</t>
  </si>
  <si>
    <t>Base Telefónica IP P/Starvox DP750</t>
  </si>
  <si>
    <t>207GHTWJ40D54926</t>
  </si>
  <si>
    <t xml:space="preserve">Monitores Financieros   </t>
  </si>
  <si>
    <t>GOBDOM-04-00118</t>
  </si>
  <si>
    <t>207GHTWJ40D54927</t>
  </si>
  <si>
    <t>GOBDOM-04-00119</t>
  </si>
  <si>
    <t>Teléfono Grandstream DP720</t>
  </si>
  <si>
    <t>207GHWYJ7004D810</t>
  </si>
  <si>
    <t>GOBDOM-04-00120</t>
  </si>
  <si>
    <t>207GHWYJ7004D811</t>
  </si>
  <si>
    <t>GOBDOM-04-00121</t>
  </si>
  <si>
    <t>207GHWYJ7004D813</t>
  </si>
  <si>
    <t>GOBDOM-04-00122</t>
  </si>
  <si>
    <t>207GHWYJ7004D819</t>
  </si>
  <si>
    <t>GOBDOM-04-00123</t>
  </si>
  <si>
    <t>207GHWYJ7004D80A</t>
  </si>
  <si>
    <t>GOBDOM-04-00124</t>
  </si>
  <si>
    <t>207GHWYJ7004D80E</t>
  </si>
  <si>
    <t>Lib. No.1838-1</t>
  </si>
  <si>
    <t>GOBDOM-01-05618</t>
  </si>
  <si>
    <t>Archivo Lateral Metálico de 4 Gavetas.  Color Gris. 16 x 36 x 52.5</t>
  </si>
  <si>
    <t>Gestión Humana          Angela Muñoz</t>
  </si>
  <si>
    <t>Lib. No.1834-1</t>
  </si>
  <si>
    <t xml:space="preserve">Termohigómetro Digital Noeteck V20. </t>
  </si>
  <si>
    <t>Mod. NTK026</t>
  </si>
  <si>
    <t>ALMACEN REGIONAL DE MEDICAMENTOS REGION VI - SJM</t>
  </si>
  <si>
    <t>ROMFER OFFICE STORE, SRL.</t>
  </si>
  <si>
    <t>GOBDOM-05-01831</t>
  </si>
  <si>
    <t>ALMACEN REGIONAL DE MEDICAMENTOS REGION V - SPM</t>
  </si>
  <si>
    <t>GOBDOM-05-01832</t>
  </si>
  <si>
    <t>Lib. No.1864-1</t>
  </si>
  <si>
    <t>AVG COMERCIAL, SRL.</t>
  </si>
  <si>
    <t>GOBDOM-01-05621</t>
  </si>
  <si>
    <t>Carro Plataforma P/Transp. De Cajas</t>
  </si>
  <si>
    <t>GOBDOM-01-05622</t>
  </si>
  <si>
    <t>GOBDOM-01-05623</t>
  </si>
  <si>
    <t>GOBDOM-01-05624</t>
  </si>
  <si>
    <t>GOBDOM-01-05625</t>
  </si>
  <si>
    <r>
      <t xml:space="preserve">Estantes Metálicos de 5 Bandejas   Dimensión: 2.0 x 1.20 x 0.40 MTS.
</t>
    </r>
    <r>
      <rPr>
        <b/>
        <sz val="10"/>
        <rFont val="Arial"/>
        <family val="2"/>
      </rPr>
      <t>Cantidad: 50 Unidades.</t>
    </r>
  </si>
  <si>
    <t>GOBDOM-01-05626</t>
  </si>
  <si>
    <t>Extintores Portátil de Polvo Químico - Carga 2.5kg</t>
  </si>
  <si>
    <t>Extintor Portátil Polvo Químico - 2.5kg</t>
  </si>
  <si>
    <t>GOBDOM-01-05627</t>
  </si>
  <si>
    <t>GOBDOM-01-05628</t>
  </si>
  <si>
    <t>GOBDOM-01-05629</t>
  </si>
  <si>
    <t>GOBDOM-01-05630</t>
  </si>
  <si>
    <t>GOBDOM-01-05631</t>
  </si>
  <si>
    <t>Extintores CO2 Portátil - Carga de 5KG</t>
  </si>
  <si>
    <t>GOBDOM-01-05632</t>
  </si>
  <si>
    <t>GOBDOM-01-05633</t>
  </si>
  <si>
    <t>Mesa Plegable de Resina + 2 Sillas</t>
  </si>
  <si>
    <t>GOBDOM-01-05634</t>
  </si>
  <si>
    <r>
      <t xml:space="preserve">Tarimas Plásticas. Tipo Plataforma, carga estática de 1,500 kg. Dimensión 1.20 x 1.20.  </t>
    </r>
    <r>
      <rPr>
        <b/>
        <sz val="10"/>
        <rFont val="Arial"/>
        <family val="2"/>
      </rPr>
      <t>Cantidad: 12 Unidades</t>
    </r>
    <r>
      <rPr>
        <sz val="11"/>
        <color theme="1"/>
        <rFont val="Calibri"/>
        <family val="2"/>
        <scheme val="minor"/>
      </rPr>
      <t>.</t>
    </r>
  </si>
  <si>
    <t>GOBDOM-01-05635</t>
  </si>
  <si>
    <t>Zafacón Plástico con Tapa y Rueda. Capacidad: 50 Galones.</t>
  </si>
  <si>
    <t>GOBDOM-01-05636</t>
  </si>
  <si>
    <t>GOBDOM-01-05637</t>
  </si>
  <si>
    <t>Lib. No.93-1</t>
  </si>
  <si>
    <t>GOBDOM-02-01743</t>
  </si>
  <si>
    <t>Software Adobe Acrobat Pro DC. Cantidad: Dos (02) Licencia. Suscripción Anual. Válida hasta el 27/12/2020.</t>
  </si>
  <si>
    <t>METRIC TOUCH, S.R.L.</t>
  </si>
  <si>
    <t>GOBDOM-02-01744</t>
  </si>
  <si>
    <t>Software Creative Cloud. Cantidad: Dos (02) Licencia. Suscripción Anual. Válida hasta el 27/12/2020.</t>
  </si>
  <si>
    <t>GOBDOM-02-01745</t>
  </si>
  <si>
    <t>Software Adobe Photoshop. Cantidad: Una (01) Licencia. Suscripción Anual. Válida hasta el 27/12/2020.</t>
  </si>
  <si>
    <t>Lib. No.372-1</t>
  </si>
  <si>
    <t>GOBDOM-02-01746</t>
  </si>
  <si>
    <t>Computador Dell Optiplex 3070. Incluye: Mouse, Teclado y Monitor Dell 22" E2216H</t>
  </si>
  <si>
    <t>CPU: C8TX233 Monitor: 5T92SY2</t>
  </si>
  <si>
    <t>GOBDOM-02-01747</t>
  </si>
  <si>
    <t>Monitor Dell 22" P2219H</t>
  </si>
  <si>
    <t>4JNC8W2</t>
  </si>
  <si>
    <t>GOBDOM-02-01748</t>
  </si>
  <si>
    <t>9ZC98W2</t>
  </si>
  <si>
    <t>GOBDOM-02-01749</t>
  </si>
  <si>
    <t>GVF98W2</t>
  </si>
  <si>
    <t>GOBDOM-02-01750</t>
  </si>
  <si>
    <t>Monitor Dell 24" P2419H</t>
  </si>
  <si>
    <t>9Z2W2Y2</t>
  </si>
  <si>
    <t>GOBDOM-02-01751</t>
  </si>
  <si>
    <t>Impresora Zebra ZC300 P/Carnet</t>
  </si>
  <si>
    <t>C3J193300666</t>
  </si>
  <si>
    <t>GOBDOM-02-01752</t>
  </si>
  <si>
    <t>Impresora Zebra ZD410 P/Etiquetas</t>
  </si>
  <si>
    <t>50J192203419</t>
  </si>
  <si>
    <t>GOBDOM-02-01753</t>
  </si>
  <si>
    <r>
      <t xml:space="preserve">Mouse Dell Optico MS116 UBS Negro. </t>
    </r>
    <r>
      <rPr>
        <b/>
        <sz val="10"/>
        <rFont val="Arial"/>
        <family val="2"/>
      </rPr>
      <t>Cantidad: 20 Unidades</t>
    </r>
    <r>
      <rPr>
        <sz val="11"/>
        <color theme="1"/>
        <rFont val="Calibri"/>
        <family val="2"/>
        <scheme val="minor"/>
      </rPr>
      <t>.</t>
    </r>
  </si>
  <si>
    <t>GOBDOM-02-01754</t>
  </si>
  <si>
    <t>Disco Duro Externo Seagate de 2TB USB 3.0</t>
  </si>
  <si>
    <t>NAB50M96</t>
  </si>
  <si>
    <t>GOBDOM-02-01755</t>
  </si>
  <si>
    <t>NAB50MYD</t>
  </si>
  <si>
    <t>GOBDOM-02-01756</t>
  </si>
  <si>
    <t>Disco Duro Externo Seagate de 1TB USB 3.0</t>
  </si>
  <si>
    <t>NAA9VWMA</t>
  </si>
  <si>
    <t>GOBDOM-02-01757</t>
  </si>
  <si>
    <t>NAA9VY0R</t>
  </si>
  <si>
    <t>GOBDOM-02-01758</t>
  </si>
  <si>
    <t>Router Nexxt Wireless AC1200 Dual Band. 4 Puertos</t>
  </si>
  <si>
    <t>4904U2191205101</t>
  </si>
  <si>
    <t>GOBDOM-02-01759</t>
  </si>
  <si>
    <t>4904U2191205102</t>
  </si>
  <si>
    <t>GOBDOM-02-01760</t>
  </si>
  <si>
    <t>4904U2191205107</t>
  </si>
  <si>
    <t>GOBDOM-02-01761</t>
  </si>
  <si>
    <t>Teclado Apple y Mouse Mágico Inalámbrico.</t>
  </si>
  <si>
    <t>GOBDOM-02-01762</t>
  </si>
  <si>
    <t xml:space="preserve">Puntero Laser Logitech (Control Presentador) R500 2.4 Wireless USB. </t>
  </si>
  <si>
    <t>GOBDOM-02-01763</t>
  </si>
  <si>
    <t>GOBDOM-02-01764</t>
  </si>
  <si>
    <r>
      <t>Cable Argom HDMI de 6 Pies. Cantidad:</t>
    </r>
    <r>
      <rPr>
        <b/>
        <sz val="10"/>
        <rFont val="Arial"/>
        <family val="2"/>
      </rPr>
      <t xml:space="preserve"> 05 Uds</t>
    </r>
    <r>
      <rPr>
        <sz val="11"/>
        <color theme="1"/>
        <rFont val="Calibri"/>
        <family val="2"/>
        <scheme val="minor"/>
      </rPr>
      <t>.</t>
    </r>
  </si>
  <si>
    <t>Lib. No.377-1</t>
  </si>
  <si>
    <t>GOBDOM-02-01765</t>
  </si>
  <si>
    <t>Computador Dell Optiplex 3070 I5. Incluye: Mouse, Teclado y Monitor Dell</t>
  </si>
  <si>
    <t>CPU: D0CQ9Z2                           Monitor: CN-0R16JC-72872-340-F5CM</t>
  </si>
  <si>
    <t>Maria Castillo  (Tatis)            Consultoria Juridica</t>
  </si>
  <si>
    <t>GOBDOM-02-01766</t>
  </si>
  <si>
    <t>CPU: D1CS9Z2                          Monitor: 9HJ64X</t>
  </si>
  <si>
    <t>GOBDOM-02-01767</t>
  </si>
  <si>
    <t>CPU: D0SQ9Z2                          Monitor: CN-0R16JC-72872-340-ELVM</t>
  </si>
  <si>
    <t xml:space="preserve">   Unidad de Adquisiciones</t>
  </si>
  <si>
    <t>GOBDOM-02-01768</t>
  </si>
  <si>
    <t>CPU: D06S9Z2                          Monitor: CN-0R16JC-72872-340-ERFM</t>
  </si>
  <si>
    <t xml:space="preserve">   Tatis Contrera         Coord. Administrativa</t>
  </si>
  <si>
    <t>GOBDOM-02-01769</t>
  </si>
  <si>
    <t>CPU: D20Q9Z2                          Monitor: CN-0N0IVP-64180-23H-1MES</t>
  </si>
  <si>
    <t xml:space="preserve">  Prensa y Rel. Pública   Pedro Canela   </t>
  </si>
  <si>
    <t>GOBDOM-02-01770</t>
  </si>
  <si>
    <t>CPU: D24R9Z2                           Monitor: FWKTJV2</t>
  </si>
  <si>
    <t>GOBDOM-02-01771</t>
  </si>
  <si>
    <t>CPU: D14S9Z2                           Monitor: CN-0R16JC-72872-340-EHMM</t>
  </si>
  <si>
    <t xml:space="preserve">  Coord. Administrativa                Gissel Franco</t>
  </si>
  <si>
    <t>Multicomputos, SRL</t>
  </si>
  <si>
    <t>19-Ago-20</t>
  </si>
  <si>
    <t>Lib-670-1</t>
  </si>
  <si>
    <t>GOBDOM-02-01773</t>
  </si>
  <si>
    <t>Disco Duro 300GB 12G 10K rpm Smart Cartridge</t>
  </si>
  <si>
    <t>872475-B21</t>
  </si>
  <si>
    <t>Productive Business Solutions</t>
  </si>
  <si>
    <t>GOBDOM-02-01774</t>
  </si>
  <si>
    <t>Lib.987-1</t>
  </si>
  <si>
    <t>GOBDOM-02-01775</t>
  </si>
  <si>
    <t>ME1UE2715L3035084</t>
  </si>
  <si>
    <t>Unidad Transportacion</t>
  </si>
  <si>
    <t>Santo Domingo Motors Company, S.A.</t>
  </si>
  <si>
    <t>GOBDOM-02-01776</t>
  </si>
  <si>
    <t>ME1UE271XL3035131</t>
  </si>
  <si>
    <t>GOBDOM-02-01777</t>
  </si>
  <si>
    <t xml:space="preserve">Microsoft Oficce 365 Bussiness Basic </t>
  </si>
  <si>
    <t>AAA-10264</t>
  </si>
  <si>
    <t>Unidad Tecnologia</t>
  </si>
  <si>
    <t>Lib.1185-1</t>
  </si>
  <si>
    <t>GOBDOM-02-01778</t>
  </si>
  <si>
    <t>POWER BI PRO</t>
  </si>
  <si>
    <t>AAA-13173</t>
  </si>
  <si>
    <t>GOBDOM-02-01779</t>
  </si>
  <si>
    <t>MULTI-DOMAIN SSL CERTIFICATE 3 YEARS Covers 4URLS</t>
  </si>
  <si>
    <t>GOBDOM-02-01780</t>
  </si>
  <si>
    <t>FORTIMAIL CLOUD-GATEWAY PREMIUN W. OFFICE 365 API SUPPORT 100 TO 100 MAIL BOXES.</t>
  </si>
  <si>
    <t>FC-10-0VM02-423-02-12</t>
  </si>
  <si>
    <t>Lib.200</t>
  </si>
  <si>
    <t>GOBDOM-02-01781</t>
  </si>
  <si>
    <r>
      <t>LICENCIAS ANTI-VIRUS  SES-SUB-100-499,ENDPOINT SECURITY ENTERPRISE,HYBRID SBSCRIPTION  LICENCES WITH SUPPORT,</t>
    </r>
    <r>
      <rPr>
        <b/>
        <sz val="10"/>
        <rFont val="Arial"/>
        <family val="2"/>
      </rPr>
      <t xml:space="preserve">CANTIDAD: 120 UNIDADES </t>
    </r>
    <r>
      <rPr>
        <sz val="11"/>
        <color theme="1"/>
        <rFont val="Calibri"/>
        <family val="2"/>
        <scheme val="minor"/>
      </rPr>
      <t>SUSCRIPCION CADA 3 AÑOS:VALIDA HASTA  8/03/2024.</t>
    </r>
  </si>
  <si>
    <t xml:space="preserve"> SES-SUB 100-499  DEVICES ,3 YEARS </t>
  </si>
  <si>
    <t>Lib-204</t>
  </si>
  <si>
    <t>GOBDOM-02-01782</t>
  </si>
  <si>
    <t>RENOVACION DE FIREWALL  ADVANCED  MALWARE PROTECTION FORTIGUAD SERVICE WEB FILTRING , SUSCRIPCION ANUAL: VALIDA HASTA 25/01/2021.</t>
  </si>
  <si>
    <t xml:space="preserve">SOPORTE FORTIGATE-200E SKU-QID2260540-1 </t>
  </si>
  <si>
    <t>Lib.287</t>
  </si>
  <si>
    <t>GOBDOM-02-01783</t>
  </si>
  <si>
    <r>
      <t>LICENCIA ADOBE ACROBAT PRO DC FOR TEAMS ALL MULTIPLE PLATORMS</t>
    </r>
    <r>
      <rPr>
        <b/>
        <sz val="10"/>
        <rFont val="Arial"/>
        <family val="2"/>
      </rPr>
      <t>,CANTIDAD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0"/>
        <rFont val="Arial"/>
        <family val="2"/>
      </rPr>
      <t xml:space="preserve">2 UNIDADES </t>
    </r>
  </si>
  <si>
    <t>01L1C00399</t>
  </si>
  <si>
    <t>Compu-Office Dominicana, S.R.L.</t>
  </si>
  <si>
    <t>GOBDOM-02-01784</t>
  </si>
  <si>
    <t>02L1C00332</t>
  </si>
  <si>
    <t>Lib.392</t>
  </si>
  <si>
    <t>GOBDOM-02-01785</t>
  </si>
  <si>
    <t>Computador  Desktop Dell Optiplex 7080 , color Negro incluye (Teclado,Mauses,      Memoria,VGA)</t>
  </si>
  <si>
    <t>8VZQH63</t>
  </si>
  <si>
    <t xml:space="preserve"> Direccion ejecutiva    Gissela Garcia</t>
  </si>
  <si>
    <t>GOBDOM-02-01786</t>
  </si>
  <si>
    <t>Computador  Desktop Dell Optiplex 7080 , color Negro incluye (Teclado,Mauses      Memoria,VGA)</t>
  </si>
  <si>
    <t>8W9H63</t>
  </si>
  <si>
    <t>Polibio Perez Direccion Ejecutiva</t>
  </si>
  <si>
    <t>GOBDOM-02-01787</t>
  </si>
  <si>
    <t>Computador  Desktop Dell Optiplex 7080 , color Negro incluye (Teclado,Mauses,        Memoria,VGA)</t>
  </si>
  <si>
    <t>BVXPH63</t>
  </si>
  <si>
    <t xml:space="preserve"> Oficina de Acceso a la Informacion  Jennifer Marti</t>
  </si>
  <si>
    <t>GOBDOM-02-01788</t>
  </si>
  <si>
    <t>Computador  Desktop Dell Optiplex 7080 , color Negro incluye (Teclado,Mauses,         Memoria,VGA)</t>
  </si>
  <si>
    <t>BVPRH63</t>
  </si>
  <si>
    <t xml:space="preserve">  Prensa y Relaciones Publica Vianco Martinez</t>
  </si>
  <si>
    <t>GOBDOM-02-01789</t>
  </si>
  <si>
    <t>BWONH63</t>
  </si>
  <si>
    <t xml:space="preserve"> Gerencia Tecnica  Patricia Rivera </t>
  </si>
  <si>
    <t>GOBDOM-02-01790</t>
  </si>
  <si>
    <t>Tablet Aipac Pro Apple,12.9 Pulgada/ Disco Duro 1 TB</t>
  </si>
  <si>
    <t>DMPDJ3URNTJ2</t>
  </si>
  <si>
    <t xml:space="preserve">  Director Ejecutivo  Dr. Enrique Gonzalez</t>
  </si>
  <si>
    <t>Lib.319</t>
  </si>
  <si>
    <t>GOBDOM-02-01791</t>
  </si>
  <si>
    <t>Laptop Dell Vostro 3490, color negro</t>
  </si>
  <si>
    <t>CJDHL73</t>
  </si>
  <si>
    <t>Robert Nina Gerencia Tecnica</t>
  </si>
  <si>
    <t>GOBDOM-02-01792</t>
  </si>
  <si>
    <t>8GQFL73</t>
  </si>
  <si>
    <t xml:space="preserve">Direccion Ejecutiva Gerson Dominguez </t>
  </si>
  <si>
    <t>GOBDOM-02-01793</t>
  </si>
  <si>
    <t>7M2GL73</t>
  </si>
  <si>
    <t xml:space="preserve">Unidad de Tecnologia </t>
  </si>
  <si>
    <t>GOBDOM-02-01794</t>
  </si>
  <si>
    <t>Laptop Dell Latitude 3510, color negro</t>
  </si>
  <si>
    <t>H289863</t>
  </si>
  <si>
    <t xml:space="preserve">     Unidad Financiera  Ingrid Melo</t>
  </si>
  <si>
    <t>GOBDOM-02-01795</t>
  </si>
  <si>
    <t>H489863</t>
  </si>
  <si>
    <t xml:space="preserve">Damares Mesa Compra y Contrataciones </t>
  </si>
  <si>
    <t>GOBDOM-02-01796</t>
  </si>
  <si>
    <t>3T79863</t>
  </si>
  <si>
    <t>Rosa Sanchez Gerencia Tecnica</t>
  </si>
  <si>
    <t>GOBDOM-02-01797</t>
  </si>
  <si>
    <t>C089863</t>
  </si>
  <si>
    <t xml:space="preserve"> Coordinacion Administrativo- Financiera Mirian Baez</t>
  </si>
  <si>
    <t>Lib.899-1</t>
  </si>
  <si>
    <t>GOBDOM-02-01798</t>
  </si>
  <si>
    <r>
      <t xml:space="preserve">Licencia Soporte de Backup Exec. 12 Meses. </t>
    </r>
    <r>
      <rPr>
        <b/>
        <sz val="10"/>
        <rFont val="Arial"/>
        <family val="2"/>
      </rPr>
      <t>Cantidad: 2 Licencias</t>
    </r>
    <r>
      <rPr>
        <sz val="11"/>
        <color theme="1"/>
        <rFont val="Calibri"/>
        <family val="2"/>
        <scheme val="minor"/>
      </rPr>
      <t xml:space="preserve"> Renovada.</t>
    </r>
  </si>
  <si>
    <t>20693-M3-23</t>
  </si>
  <si>
    <t>MULTICOMPUTOS     S.R.L.</t>
  </si>
  <si>
    <t>Lib.1430-1</t>
  </si>
  <si>
    <t>Nevera Ejecutiva de 4.5 pies</t>
  </si>
  <si>
    <t>DISTRIBUIDORA MA&amp;S,S.R.L.</t>
  </si>
  <si>
    <t>Lib.1062-1</t>
  </si>
  <si>
    <t>Nevera Ejecutiva Frigidaire de 3.2 Pies , Color:Acero Inoxidable</t>
  </si>
  <si>
    <t>FD9Z61C3649001D2104038206</t>
  </si>
  <si>
    <t>RENEXYS S.R.L</t>
  </si>
  <si>
    <t>Lib.1065</t>
  </si>
  <si>
    <t>GOBDOM-02-01800</t>
  </si>
  <si>
    <r>
      <t>Sillon  Ejecutivo  SY888 en  Pielina,Color:</t>
    </r>
    <r>
      <rPr>
        <b/>
        <sz val="10"/>
        <rFont val="Arial"/>
        <family val="2"/>
      </rPr>
      <t xml:space="preserve">Negro </t>
    </r>
    <r>
      <rPr>
        <sz val="11"/>
        <color theme="1"/>
        <rFont val="Calibri"/>
        <family val="2"/>
        <scheme val="minor"/>
      </rPr>
      <t>Base Metal.</t>
    </r>
  </si>
  <si>
    <t>SE49-30303</t>
  </si>
  <si>
    <t xml:space="preserve"> Control Interno  Gumecindo Cuevas</t>
  </si>
  <si>
    <t>GOBDOM-02-01801</t>
  </si>
  <si>
    <r>
      <t>Sillon  Ejecutivo  SY888 en  Pielina,Color:</t>
    </r>
    <r>
      <rPr>
        <b/>
        <sz val="10"/>
        <rFont val="Arial"/>
        <family val="2"/>
      </rPr>
      <t>Negro,</t>
    </r>
    <r>
      <rPr>
        <sz val="11"/>
        <color theme="1"/>
        <rFont val="Calibri"/>
        <family val="2"/>
        <scheme val="minor"/>
      </rPr>
      <t>Base Metal.</t>
    </r>
  </si>
  <si>
    <t xml:space="preserve">  Sub-Director (conavihsida)  Julio Goner</t>
  </si>
  <si>
    <t>HOSPITAL Y BAEZ CABRAL (SANTIAGO)</t>
  </si>
  <si>
    <t>GOBDOM-02-01802</t>
  </si>
  <si>
    <t>Sofa Marvin  de  2 Persona  Color:Negro</t>
  </si>
  <si>
    <t>SL20-68102</t>
  </si>
  <si>
    <t>GOBDOM-02-01803</t>
  </si>
  <si>
    <r>
      <t>Sofa Marvin  de  3 Persona  Color:</t>
    </r>
    <r>
      <rPr>
        <b/>
        <sz val="10"/>
        <rFont val="Arial"/>
        <family val="2"/>
      </rPr>
      <t>Negro</t>
    </r>
  </si>
  <si>
    <t xml:space="preserve">Sub Director (conavihsida)  Julio Goner  </t>
  </si>
  <si>
    <t>ACTUALIDADES  VD, SRL.</t>
  </si>
  <si>
    <t>Lib.1274-1</t>
  </si>
  <si>
    <t>GOBDOM-02-01804</t>
  </si>
  <si>
    <t>Credenza en  Melanina Color:Haya</t>
  </si>
  <si>
    <t>LEON GONZALEZ SRL</t>
  </si>
  <si>
    <t>Lib.1149-1</t>
  </si>
  <si>
    <t>GOBDOM-02-01805</t>
  </si>
  <si>
    <t>Escritorio  Linea Space de  31 X 55 Tope Cristal, Curvo en el Frente y de  12mm,Con Estructura Metal Blanca .</t>
  </si>
  <si>
    <t xml:space="preserve">Controles Interno  Gumercindo Cuevas </t>
  </si>
  <si>
    <t>GOBDOM-02-01806</t>
  </si>
  <si>
    <t>Escritorio  Retorno  Space de  22 X 40 Rectangular Con  Estructura Metal Blanca y  Tope Cristal de 12 mm.</t>
  </si>
  <si>
    <t>GOBDOM-02-01807</t>
  </si>
  <si>
    <t>Sillas  de  Visitas Erickson, Espaldar Bajo Tapizada en  Piel Sintetica Color Gris .</t>
  </si>
  <si>
    <t>GOBDOM-02-01808</t>
  </si>
  <si>
    <t xml:space="preserve">Sillas  de  Visitas Erickson, Espaldar  Bajo Tapizada en  Piel  Sintetica Color  Gris. </t>
  </si>
  <si>
    <t>Lib.1201-1</t>
  </si>
  <si>
    <t>GOBDOM-02-01814</t>
  </si>
  <si>
    <t>MAQUINA SUMADORA SHARP 2630P</t>
  </si>
  <si>
    <t xml:space="preserve"> Gestion de Servicios de Salud    Maria Rodriguez</t>
  </si>
  <si>
    <t>A&amp;F CENTRO GRAFICO SRL</t>
  </si>
  <si>
    <t>GOBDOM-02-01815</t>
  </si>
  <si>
    <t>GOBDOM-02-01816</t>
  </si>
  <si>
    <t>GOBDOM-02-01817</t>
  </si>
  <si>
    <t>GOBDOM-02-01818</t>
  </si>
  <si>
    <t>GOBDOM-02-01819</t>
  </si>
  <si>
    <t>Lib.1674-1</t>
  </si>
  <si>
    <t>GOBDOM-02-01820</t>
  </si>
  <si>
    <t>COMPUTADORA DELL 3080 I5/10TH GEN DISCO DURO 512G SSD/ MEMORIA 8GB/ MONITOR DELL 22" E2220 /3 AÑOS de GARANTIA</t>
  </si>
  <si>
    <t>GOBDOM-02-01821</t>
  </si>
  <si>
    <t>COMPUTADORA DELL 3080 I5/10TH GEN DISCO DURO 512G SSD/ MEMORIA 8GB/ MONITOR DELL 22" E2220</t>
  </si>
  <si>
    <t>GOBDOM-02-01823</t>
  </si>
  <si>
    <t>GOBDOM-02-01824</t>
  </si>
  <si>
    <t>COMPUTADORA DELL 3080 I5/10TH GEN DISCO DURO 512G SSD/ MEMORIA 8GB/ MONITOR DELL 22" E2220 3 AÑOS de GARANTIA</t>
  </si>
  <si>
    <t>GOBDOM-02-01825</t>
  </si>
  <si>
    <t>GOBDOM-02-01826</t>
  </si>
  <si>
    <t>GOBDOM-02-01827</t>
  </si>
  <si>
    <t>GOBDOM-02-01828</t>
  </si>
  <si>
    <t>GOBDOM-02-01829</t>
  </si>
  <si>
    <t>TELEFONO  GRANSTREAN GXP2130/PROTOCOL / STANDARDS</t>
  </si>
  <si>
    <t>GXP2130</t>
  </si>
  <si>
    <t>GOBDOM-02-01830</t>
  </si>
  <si>
    <t>GOBDOM-02-01831</t>
  </si>
  <si>
    <t>GOBDOM-02-01832</t>
  </si>
  <si>
    <t>GOBDOM-02-01833</t>
  </si>
  <si>
    <t>GOBDOM-02-01834</t>
  </si>
  <si>
    <t xml:space="preserve">TELEFONO  GRANSTREAN GXP1625/ SIP RFC3261/TCP/PROTOCOL / STANDARDS 1 AÑO DE GARANTIA </t>
  </si>
  <si>
    <t>GXP1625</t>
  </si>
  <si>
    <t>GOBDOM-02-01835</t>
  </si>
  <si>
    <t>GOBDOM-02-01836</t>
  </si>
  <si>
    <t>GOBDOM-02-01837</t>
  </si>
  <si>
    <t>GOBDOM-02-01838</t>
  </si>
  <si>
    <t>GOBDOM-02-01839</t>
  </si>
  <si>
    <t>GOBDOM-02-01840</t>
  </si>
  <si>
    <t>GOBDOM-02-01841</t>
  </si>
  <si>
    <t>GOBDOM-02-01842</t>
  </si>
  <si>
    <t>GOBDOM-02-01843</t>
  </si>
  <si>
    <t>GOBDOM-02-01844</t>
  </si>
  <si>
    <t>KIT DE INSTALACION DELUXE LAN  81PC PC QUEST( MALETIN)</t>
  </si>
  <si>
    <t>GOBDOM-02-01845</t>
  </si>
  <si>
    <t xml:space="preserve">ASPIRADORA PORTABLE P/IMP PORTATIL INALAMBRICO </t>
  </si>
  <si>
    <t>GOBDOM-02-01846</t>
  </si>
  <si>
    <t>BATERIA P/LAPTOP XP  13 PULGADA 9350 / 1AÑO DE GARANTIA</t>
  </si>
  <si>
    <t>XP13</t>
  </si>
  <si>
    <t>GOBDOM-02-01847</t>
  </si>
  <si>
    <t>BATERIA P/LAPTOP  DELL INSPIRON  15 "5567  / 1AÑO DE GARANTIA</t>
  </si>
  <si>
    <t>GOBDOM-02-01848</t>
  </si>
  <si>
    <t>GOBDOM-02-01849</t>
  </si>
  <si>
    <t>BATERIA P/LAPTOP DELL LAPTITUDES  14 PULGADA 5480 /1AÑO DE GARANTIA</t>
  </si>
  <si>
    <t>GOBDOM-02-01850</t>
  </si>
  <si>
    <t>BATERIA P/LAPTOP DELL LAPTITUDES  15 PULGADA /E5530 /1AÑO DE GARANTIA</t>
  </si>
  <si>
    <t>E5530</t>
  </si>
  <si>
    <t>TECLADO DELL KB216 USB BLACK ESPAÑOL</t>
  </si>
  <si>
    <t>KB12</t>
  </si>
  <si>
    <t>KB13</t>
  </si>
  <si>
    <t>KB14</t>
  </si>
  <si>
    <t>KB15</t>
  </si>
  <si>
    <t>KB16</t>
  </si>
  <si>
    <t>GOBDOM-02-01866</t>
  </si>
  <si>
    <t xml:space="preserve">DISCO DURO INTERNO 500 GB SSD SATA/8 MESES DE GARANTIA </t>
  </si>
  <si>
    <t>500GB</t>
  </si>
  <si>
    <t>GOBDOM-02-01867</t>
  </si>
  <si>
    <t>GOBDOM-02-01868</t>
  </si>
  <si>
    <t>Lib.1332-1</t>
  </si>
  <si>
    <r>
      <t xml:space="preserve">GOBDOM-02-01809(SIAB)  </t>
    </r>
    <r>
      <rPr>
        <b/>
        <sz val="10"/>
        <rFont val="Arial"/>
        <family val="2"/>
      </rPr>
      <t>GOBDOM-02-01815</t>
    </r>
  </si>
  <si>
    <r>
      <t>Sillon  Ejecutivo,Eddie en  Pielgenuina ,</t>
    </r>
    <r>
      <rPr>
        <b/>
        <sz val="10"/>
        <rFont val="Arial"/>
        <family val="2"/>
      </rPr>
      <t>Color Negro</t>
    </r>
    <r>
      <rPr>
        <sz val="11"/>
        <color theme="1"/>
        <rFont val="Calibri"/>
        <family val="2"/>
        <scheme val="minor"/>
      </rPr>
      <t>, Espardar  Alto.</t>
    </r>
  </si>
  <si>
    <t>ante-Despacho                   Direccion Ejecutiva Polivio Perez</t>
  </si>
  <si>
    <t>Lib.1335-1</t>
  </si>
  <si>
    <r>
      <t xml:space="preserve">GOBDOM-02-01810(SIAB) </t>
    </r>
    <r>
      <rPr>
        <b/>
        <sz val="10"/>
        <rFont val="Arial"/>
        <family val="2"/>
      </rPr>
      <t>GOBDOM-02-01816</t>
    </r>
  </si>
  <si>
    <t>Nevera Ejecutiva Frigidaire de  4.5 Pies  Color: Acero Inoxidable</t>
  </si>
  <si>
    <t>DISTRIBUIDORA MA&amp;S</t>
  </si>
  <si>
    <t>Lib. 1691</t>
  </si>
  <si>
    <t>GOBDOM-02-01942</t>
  </si>
  <si>
    <t>Butaca para Visitantes Respaldo en Malla y Fondo Tapizado en Tela Negra L (Brazos Fijos y Bases Niquelada )</t>
  </si>
  <si>
    <t xml:space="preserve">Gerencia Tecnica </t>
  </si>
  <si>
    <t xml:space="preserve">R&amp;M Ramirez &amp; Mojica </t>
  </si>
  <si>
    <t>Lib. 1692</t>
  </si>
  <si>
    <t>GOBDOM-02-01943</t>
  </si>
  <si>
    <t>Lib.1518-1</t>
  </si>
  <si>
    <t>GOBDOM-02-01811</t>
  </si>
  <si>
    <t>Escritorio Ejecutivo en forma de L,con Linea Plato Tope Color Maple, Laterales y Estructura Metalica en Gris, con Medidas: 63x80x30 y Retorno a la Derecha con Gabinete, con puerta y espacio abierto.</t>
  </si>
  <si>
    <t xml:space="preserve"> Sub-Director (conavihsida)  Julio Goner </t>
  </si>
  <si>
    <t>GOBDOM-02-01812</t>
  </si>
  <si>
    <t>Escritorio ,estacion de trabajo para una persona,linea Plato de space, con medidas de 48x24x30, tope color:gris maple  con panel de privacidad y estructura metalica gris oscuro, Incluye modulo fijo de una gaveta y una puerta.</t>
  </si>
  <si>
    <t>Lib. 1706</t>
  </si>
  <si>
    <t>GOB-02-01876</t>
  </si>
  <si>
    <t>Lapto Dell Latitude 3520- tipo B 15.6</t>
  </si>
  <si>
    <t>CECOMSA, S.R.L.</t>
  </si>
  <si>
    <t>GOB-02-01877</t>
  </si>
  <si>
    <t>Lapto Dell Latitude 3520- tipo B 15.7</t>
  </si>
  <si>
    <t>GOB-02-01878</t>
  </si>
  <si>
    <t>Lapto Dell Latitude 3520- tipo B 15.8</t>
  </si>
  <si>
    <t>GOB-02-01879</t>
  </si>
  <si>
    <t>Lapto Dell Latitude 3520- tipo B 15.9</t>
  </si>
  <si>
    <t>GOB-02-01880</t>
  </si>
  <si>
    <t>Lapto Dell Latitude 3520- tipo B 15.10</t>
  </si>
  <si>
    <t>GOB-02-01881</t>
  </si>
  <si>
    <t>Lapto Dell Latitude 3520- tipo B 15.11</t>
  </si>
  <si>
    <t>GOB-02-01882</t>
  </si>
  <si>
    <t>Impresora Multifuncional HP Laserjet Enterprise                         M578dn Mfp</t>
  </si>
  <si>
    <t>GOB-02-01883</t>
  </si>
  <si>
    <t>GOB-02-01884</t>
  </si>
  <si>
    <t>Telefono Fijo tipo A -IP empresarial</t>
  </si>
  <si>
    <t>GOB-02-01885</t>
  </si>
  <si>
    <t>Cable de Internet A-Cable Netsys P/UTP CAT-6 Gris</t>
  </si>
  <si>
    <t>GOB-02-01886</t>
  </si>
  <si>
    <t xml:space="preserve">Cable de Internet B-Patch Cord nexxt 10FT Cat-6 </t>
  </si>
  <si>
    <t>GOB-02-01887</t>
  </si>
  <si>
    <t>GOB-02-01888</t>
  </si>
  <si>
    <t>GOB-02-01889</t>
  </si>
  <si>
    <t>GOB-02-01890</t>
  </si>
  <si>
    <t>GOB-02-01891</t>
  </si>
  <si>
    <t>GOB-02-01892</t>
  </si>
  <si>
    <t>GOB-02-01893</t>
  </si>
  <si>
    <t>GOB-02-01894</t>
  </si>
  <si>
    <t>GOB-02-01895</t>
  </si>
  <si>
    <t>GOB-02-01896</t>
  </si>
  <si>
    <t>GOB-02-01897</t>
  </si>
  <si>
    <t>GOB-02-01898</t>
  </si>
  <si>
    <t>GOB-02-01899</t>
  </si>
  <si>
    <t>GOB-02-01901</t>
  </si>
  <si>
    <t>GOB-02-01902</t>
  </si>
  <si>
    <t>GOB-02-01903</t>
  </si>
  <si>
    <t>GOB-02-01904</t>
  </si>
  <si>
    <t>GOB-02-01905</t>
  </si>
  <si>
    <t>GOB-02-01906</t>
  </si>
  <si>
    <t>Cable de internet C- Patch Cord Cat-6 15FT</t>
  </si>
  <si>
    <t>GOB-02-01907</t>
  </si>
  <si>
    <t>GOB-02-01908</t>
  </si>
  <si>
    <t>GOB-02-01909</t>
  </si>
  <si>
    <t>GOB-02-01910</t>
  </si>
  <si>
    <t>GOB-02-01911</t>
  </si>
  <si>
    <t>GOB-02-01912</t>
  </si>
  <si>
    <t>GOB-02-01913</t>
  </si>
  <si>
    <t>GOB-02-01914</t>
  </si>
  <si>
    <t>GOB-02-01915</t>
  </si>
  <si>
    <t>GOB-02-01916</t>
  </si>
  <si>
    <t>GOB-02-01917</t>
  </si>
  <si>
    <t>GOB-02-01918</t>
  </si>
  <si>
    <t>GOB-02-01919</t>
  </si>
  <si>
    <t>GOB-02-01920</t>
  </si>
  <si>
    <t>GOB-02-01921</t>
  </si>
  <si>
    <t>GOB-02-01922</t>
  </si>
  <si>
    <t>GOB-02-01923</t>
  </si>
  <si>
    <t>GOB-02-01924</t>
  </si>
  <si>
    <t>GOB-02-01925</t>
  </si>
  <si>
    <t>GOB-02-01926</t>
  </si>
  <si>
    <t xml:space="preserve">Escaner de Codigo de Barras -Escaner de Mano zebra </t>
  </si>
  <si>
    <t>GOB-02-01928</t>
  </si>
  <si>
    <t>GOB-02-01929</t>
  </si>
  <si>
    <t>GOB-02-01930</t>
  </si>
  <si>
    <t>Auriculares para PC - Headset Logitech</t>
  </si>
  <si>
    <t>GOB-02-01931</t>
  </si>
  <si>
    <t>GOB-02-01932</t>
  </si>
  <si>
    <t>GOB-02-01933</t>
  </si>
  <si>
    <t>GOB-02-01934</t>
  </si>
  <si>
    <t>GOB-02-01935</t>
  </si>
  <si>
    <t>GOB-02-01936</t>
  </si>
  <si>
    <t>GOB-02-01937</t>
  </si>
  <si>
    <t>GOB-02-01938</t>
  </si>
  <si>
    <t>GOB-02-01939</t>
  </si>
  <si>
    <t>GOB-02-01940</t>
  </si>
  <si>
    <t>Bocina Bluetooth 6.5 MYO</t>
  </si>
  <si>
    <t>GOB-02-01941</t>
  </si>
  <si>
    <t>Barra de Sonido Bluetooth Xtech Xts-810</t>
  </si>
  <si>
    <t>Lib.1204-1</t>
  </si>
  <si>
    <t>Sofa de Dos Personas, color Negro en Piel con Brazos y Patas Cromados (Hispanio)</t>
  </si>
  <si>
    <t xml:space="preserve">Sala de Recepcion </t>
  </si>
  <si>
    <t>Almacenes Regionales de Medicamentos.</t>
  </si>
  <si>
    <r>
      <rPr>
        <b/>
        <sz val="11"/>
        <color indexed="10"/>
        <rFont val="Arial"/>
        <family val="2"/>
      </rPr>
      <t xml:space="preserve">       Nota_2:</t>
    </r>
    <r>
      <rPr>
        <b/>
        <sz val="11"/>
        <color indexed="18"/>
        <rFont val="Arial"/>
        <family val="2"/>
      </rPr>
      <t xml:space="preserve"> </t>
    </r>
    <r>
      <rPr>
        <b/>
        <sz val="10"/>
        <color indexed="18"/>
        <rFont val="Arial"/>
        <family val="2"/>
      </rPr>
      <t>En el año 2016 no hubo compra de activos.</t>
    </r>
  </si>
  <si>
    <t>Transf. 51-22</t>
  </si>
  <si>
    <t>Computadora Dell Optiplex 3080, 4 GB (Incluye Mause y teclado )</t>
  </si>
  <si>
    <t>TECNOLOGY SUPLY S.R.L</t>
  </si>
  <si>
    <t>Silla Ejecutiva MYO,Asiento y Respaldo de Maya Transpirable.</t>
  </si>
  <si>
    <t>Nevera Tecnomaster de 8 pie Cubico,Modelo H028w</t>
  </si>
  <si>
    <t xml:space="preserve">Horno Microhonda </t>
  </si>
  <si>
    <t>FM05-01875</t>
  </si>
  <si>
    <t>UPS APC 2000VA/1600W, Input 120V</t>
  </si>
  <si>
    <t>FM05-01876</t>
  </si>
  <si>
    <t>FM05-01877</t>
  </si>
  <si>
    <t>Bateria Unipower para UPS,12V/9AMP.</t>
  </si>
  <si>
    <t>FM05-01878</t>
  </si>
  <si>
    <t>FM05-01879</t>
  </si>
  <si>
    <t>FM05-01880</t>
  </si>
  <si>
    <t>FM05-01881</t>
  </si>
  <si>
    <t>FM05-01882</t>
  </si>
  <si>
    <t>FM05-01883</t>
  </si>
  <si>
    <t>FM05-01884</t>
  </si>
  <si>
    <t>FM05-01885</t>
  </si>
  <si>
    <t>FM05-01886</t>
  </si>
  <si>
    <t>FM05-01887</t>
  </si>
  <si>
    <t>FM05-01888</t>
  </si>
  <si>
    <t>FM05-01889</t>
  </si>
  <si>
    <t>FM05-01890</t>
  </si>
  <si>
    <t>FM05-01891</t>
  </si>
  <si>
    <t>FM05-01892</t>
  </si>
  <si>
    <t>FM05-01893</t>
  </si>
  <si>
    <t xml:space="preserve">Aire Acondicionado de 18000 BTU/Inverter </t>
  </si>
  <si>
    <t>FM05-01894</t>
  </si>
  <si>
    <t>FM05-01895</t>
  </si>
  <si>
    <t>FM05-01896</t>
  </si>
  <si>
    <t>FM05-01897</t>
  </si>
  <si>
    <t>FM05-01898</t>
  </si>
  <si>
    <t>FM05-01899</t>
  </si>
  <si>
    <t>Escalera de 3 Peldaño Metalica y Plegable.</t>
  </si>
  <si>
    <t>FM05-01900</t>
  </si>
  <si>
    <t>FM2022 no registrado en  SIAB-01861</t>
  </si>
  <si>
    <t>zafacones  plastico Rubbermaid, color amarillo con tapa negro .</t>
  </si>
  <si>
    <t>Ref: 9w2700 de 50 gl.189L</t>
  </si>
  <si>
    <t>FM2022 no registrado en SIAB-01862</t>
  </si>
  <si>
    <t xml:space="preserve">zafacones  plastico Rubbermaid, color amarillo con tapa negro. </t>
  </si>
  <si>
    <t>FM2022 no registrado en SIAB-05-01863</t>
  </si>
  <si>
    <t>FM2022 no registrado en SIAB-01864</t>
  </si>
  <si>
    <t xml:space="preserve">Luces para exterior de movimiento, panel Led superficie redondo. </t>
  </si>
  <si>
    <t>FM2022 no registrado en SIAB-01865</t>
  </si>
  <si>
    <t>FM2022 no registrado en SIAB-05-01866</t>
  </si>
  <si>
    <t>FM2022 no registrado en SIAB-01867</t>
  </si>
  <si>
    <t>FM2022 no registrado en SIAB-01868</t>
  </si>
  <si>
    <t>FM2022 no registrado en SIAB-05-01869</t>
  </si>
  <si>
    <t>FM2022 no registrado en SIAB-01870</t>
  </si>
  <si>
    <t xml:space="preserve">   Tarima de Plastico/Pallet Cantidad:15 </t>
  </si>
  <si>
    <t>120 x 100 x 14 CM           (unidad:  $2950)</t>
  </si>
  <si>
    <t>FM05-01902</t>
  </si>
  <si>
    <t>Lampara de Techo Colgante,Led de 150w</t>
  </si>
  <si>
    <t>FM05-01903</t>
  </si>
  <si>
    <t>Lampara de Techo Colgante Led de 150w</t>
  </si>
  <si>
    <t>FM05-01904</t>
  </si>
  <si>
    <t>Lampara de Techo Colgante ,Led de 150w</t>
  </si>
  <si>
    <t>FM05-01905</t>
  </si>
  <si>
    <t>FM05-01906</t>
  </si>
  <si>
    <t>FM05-01907</t>
  </si>
  <si>
    <t>FM05-01908</t>
  </si>
  <si>
    <t>FM05-01909</t>
  </si>
  <si>
    <t>FM05-01910</t>
  </si>
  <si>
    <t>FM05-01911</t>
  </si>
  <si>
    <t>FM05-01912</t>
  </si>
  <si>
    <t xml:space="preserve">Extractores de Aire para Nave Industrial </t>
  </si>
  <si>
    <t>FM05-01913</t>
  </si>
  <si>
    <t>FM05-01914</t>
  </si>
  <si>
    <t>Lamparas para la Iluminacion, Led Con Difusor Colgante de 3 tubos.</t>
  </si>
  <si>
    <t>FM05-01915</t>
  </si>
  <si>
    <t>FM05-01916</t>
  </si>
  <si>
    <t>FM05-01917</t>
  </si>
  <si>
    <t>FM05-01918</t>
  </si>
  <si>
    <t>FM05-01919</t>
  </si>
  <si>
    <t>FM05-01920</t>
  </si>
  <si>
    <t>FM05-01921</t>
  </si>
  <si>
    <t>FM05-01922</t>
  </si>
  <si>
    <t>FM05-01923</t>
  </si>
  <si>
    <t>FM05-01924</t>
  </si>
  <si>
    <t>FM05-01925</t>
  </si>
  <si>
    <t>FM05-01926</t>
  </si>
  <si>
    <t xml:space="preserve">Estante Metalico de 5 Bandeja Azul/Mamey con Refuerzo de Bandeja Incluido </t>
  </si>
  <si>
    <t>FM05-01927</t>
  </si>
  <si>
    <t>FM05-01928</t>
  </si>
  <si>
    <t>FM05-01929</t>
  </si>
  <si>
    <t>FM05-01930</t>
  </si>
  <si>
    <t>FM05-01931</t>
  </si>
  <si>
    <t>FM05-01932</t>
  </si>
  <si>
    <t>FM05-01933</t>
  </si>
  <si>
    <t>FM05-01934</t>
  </si>
  <si>
    <t xml:space="preserve">Lokers Metalico de 8 Casilleros,Criollo </t>
  </si>
  <si>
    <t>FM05-01935</t>
  </si>
  <si>
    <t xml:space="preserve">Mesa Rectangular 72x30 plegable,Tope Polietileno </t>
  </si>
  <si>
    <t>FM05-01936</t>
  </si>
  <si>
    <t>FM05-01937</t>
  </si>
  <si>
    <t>FM05-01938</t>
  </si>
  <si>
    <t xml:space="preserve">Sillas con Brazos,Coleman, Azul Plegale </t>
  </si>
  <si>
    <t>FM05-01939</t>
  </si>
  <si>
    <t>FM05-01940</t>
  </si>
  <si>
    <t>FM05-01941</t>
  </si>
  <si>
    <t>FM05-01942</t>
  </si>
  <si>
    <t>FM05-01943</t>
  </si>
  <si>
    <t>FM05-01944</t>
  </si>
  <si>
    <t>FM05-01945</t>
  </si>
  <si>
    <t>FM05-01946</t>
  </si>
  <si>
    <t>FM05-01947</t>
  </si>
  <si>
    <t>FM05-01948</t>
  </si>
  <si>
    <t>FM05-01949</t>
  </si>
  <si>
    <t>Extintores de Fuego de 10 Libras,ABC</t>
  </si>
  <si>
    <t>FM05-01950</t>
  </si>
  <si>
    <t>FM05-01951</t>
  </si>
  <si>
    <t>FM05-01952</t>
  </si>
  <si>
    <t>SRS Cibao Occidental VII   (Director Ramon Antonio     Rodriguez Almonte)</t>
  </si>
  <si>
    <t>SRS El VALLE                (Director: Cesar Benzant              Quiterio)</t>
  </si>
  <si>
    <t>SRS NORCENTRAL       (Director: Manuel Jacinto Lora Perello)</t>
  </si>
  <si>
    <t>SRS NORCENTRAL     (Director: Manuel Jacinto Lora Perello)</t>
  </si>
  <si>
    <t>SRS NORCENTRAL          (Director: Manuel Jacinto Lora Perello)</t>
  </si>
  <si>
    <t>SRS Enriquillo               (Director: Wirkin Manuel Felix Perez)</t>
  </si>
  <si>
    <t>SRS VALDESIA               (Director Marcelino Enrique Fulgencio Guzman)</t>
  </si>
  <si>
    <t xml:space="preserve">Barahona </t>
  </si>
  <si>
    <t xml:space="preserve">San Juan </t>
  </si>
  <si>
    <t xml:space="preserve">San Cristobal </t>
  </si>
  <si>
    <t>Centro especializado de Atencion de salud Juan XXIII</t>
  </si>
  <si>
    <t xml:space="preserve">Hospital Nuestra  Sra. De la Altagracia </t>
  </si>
  <si>
    <t xml:space="preserve">Centro Diagnostico y Atencion Primaria de Anamuya </t>
  </si>
  <si>
    <t>CPN Veron                  (Centro de Primer nivel de Atencion)</t>
  </si>
  <si>
    <t xml:space="preserve">Higuey </t>
  </si>
  <si>
    <t xml:space="preserve">Hospital Regional Universitario Jose Maria Cabral y Baez </t>
  </si>
  <si>
    <t>CPN Bella Vista              (Centro de Primer nivel de Atencion)</t>
  </si>
  <si>
    <t>Motoclicleta YAMAHA AñO 2020 Color Marron placa: K1892988</t>
  </si>
  <si>
    <t>Motoclicleta YAMAHA AñO 2020 Color Marron plca: K1892989</t>
  </si>
  <si>
    <t>CK.27820</t>
  </si>
  <si>
    <t>FM05-02326</t>
  </si>
  <si>
    <t xml:space="preserve">Anaqueles Metálicos de 5 Tramos </t>
  </si>
  <si>
    <t>Abanico de pared Westinghouse</t>
  </si>
  <si>
    <t xml:space="preserve">Centro de Diagnostico y Atencion Primaria de Anamuya </t>
  </si>
  <si>
    <t>Aires Acondicionado Samsung 12,000 BTU</t>
  </si>
  <si>
    <t>Balanza Metalica Rice Lake</t>
  </si>
  <si>
    <t xml:space="preserve">Bebedero Nedoca (Botellon Escondido </t>
  </si>
  <si>
    <t>Camilla Fija Duromed</t>
  </si>
  <si>
    <t>Base para TV</t>
  </si>
  <si>
    <t>Escritorio ZK Consultorio Clinico 50x100</t>
  </si>
  <si>
    <t>Escritorio ZK Consultorio Clinico 50x101</t>
  </si>
  <si>
    <t>Escritorio ZK Consultorio Clinico 50x102</t>
  </si>
  <si>
    <t>Escritorio ZK Consultorio Clinico 50x103</t>
  </si>
  <si>
    <t>Lavamanos  de Pedestal  Bellari</t>
  </si>
  <si>
    <t xml:space="preserve">Silla Metalica Giratorio Rodable </t>
  </si>
  <si>
    <t xml:space="preserve">Televisor RCA 43 Pulgadas Smart  </t>
  </si>
  <si>
    <t>Vitrina Metalica Para Consultorio (Duromed)</t>
  </si>
  <si>
    <t xml:space="preserve">Direccion de Medicamentos e insumos del Servicio Nacional de Salud </t>
  </si>
  <si>
    <t>GOBDOM-1851</t>
  </si>
  <si>
    <t>GOBDOM-1852</t>
  </si>
  <si>
    <t>GOBDOM-1853</t>
  </si>
  <si>
    <t>GOBDOM-1854</t>
  </si>
  <si>
    <t>GOBDOM-1855</t>
  </si>
  <si>
    <t>GOBDOM-1856</t>
  </si>
  <si>
    <t>GOBDOM-1857</t>
  </si>
  <si>
    <t>GOBDOM-1858</t>
  </si>
  <si>
    <t>GOBDOM-1859</t>
  </si>
  <si>
    <t>GOBDOM-1860</t>
  </si>
  <si>
    <t>GOBDOM-1861</t>
  </si>
  <si>
    <t>GOBDOM-1862</t>
  </si>
  <si>
    <t>GOBDOM-1863</t>
  </si>
  <si>
    <t>GOBDOM-1864</t>
  </si>
  <si>
    <t>GOBDOM-1865</t>
  </si>
  <si>
    <t>GOBDOM-1866</t>
  </si>
  <si>
    <t>GOBDOM-1867</t>
  </si>
  <si>
    <t>GOBDOM-1868</t>
  </si>
  <si>
    <t>GOBDOM-1869</t>
  </si>
  <si>
    <t>GOBDOM-1870</t>
  </si>
  <si>
    <t>GOBDOM-1871</t>
  </si>
  <si>
    <t>GOBDOM-1872</t>
  </si>
  <si>
    <t>GOBDOM-1873</t>
  </si>
  <si>
    <t>GOBDOM-1874</t>
  </si>
  <si>
    <t>GOBDOM-1875</t>
  </si>
  <si>
    <t>CK.27821</t>
  </si>
  <si>
    <t>FM05-02327</t>
  </si>
  <si>
    <t>FM05-02328</t>
  </si>
  <si>
    <t>FM05-02329</t>
  </si>
  <si>
    <t>FM05-02330</t>
  </si>
  <si>
    <t>FM05-02331</t>
  </si>
  <si>
    <t>FM05-02332</t>
  </si>
  <si>
    <t>FM05-02333</t>
  </si>
  <si>
    <t>FM05-02334</t>
  </si>
  <si>
    <t>FM05-02335</t>
  </si>
  <si>
    <t>FM05-02336</t>
  </si>
  <si>
    <t>FM05-02337</t>
  </si>
  <si>
    <t>FM05-02338</t>
  </si>
  <si>
    <t>FM05-02339</t>
  </si>
  <si>
    <t>FM05-02340</t>
  </si>
  <si>
    <t>FM05-02341</t>
  </si>
  <si>
    <t>FM05-02342</t>
  </si>
  <si>
    <t>FM05-02343</t>
  </si>
  <si>
    <t>FM05-02344</t>
  </si>
  <si>
    <t>FM05-02345</t>
  </si>
  <si>
    <t>FM05-02346</t>
  </si>
  <si>
    <t>FM05-02347</t>
  </si>
  <si>
    <t>FM05-02348</t>
  </si>
  <si>
    <t>FM05-02349</t>
  </si>
  <si>
    <t>FM05-02350</t>
  </si>
  <si>
    <t>FM05-02351</t>
  </si>
  <si>
    <t>FM05-02352</t>
  </si>
  <si>
    <t>FM05-02353</t>
  </si>
  <si>
    <t>FM05-02354</t>
  </si>
  <si>
    <t>FM05-02355</t>
  </si>
  <si>
    <t>FM05-02356</t>
  </si>
  <si>
    <t>FM05-02357</t>
  </si>
  <si>
    <t>FM05-02358</t>
  </si>
  <si>
    <t>FM05-02359</t>
  </si>
  <si>
    <t>FM05-02360</t>
  </si>
  <si>
    <t>FM05-02361</t>
  </si>
  <si>
    <t>FM05-02362</t>
  </si>
  <si>
    <t>FM05-02363</t>
  </si>
  <si>
    <t>FM05-02364</t>
  </si>
  <si>
    <t>FM05-02365</t>
  </si>
  <si>
    <t>FM05-02366</t>
  </si>
  <si>
    <t>FM05-02367</t>
  </si>
  <si>
    <t>FM05-02368</t>
  </si>
  <si>
    <t>FM05-02369</t>
  </si>
  <si>
    <t>FM05-02370</t>
  </si>
  <si>
    <t>FM05-02371</t>
  </si>
  <si>
    <t>FM05-02372</t>
  </si>
  <si>
    <t>FM05-02373</t>
  </si>
  <si>
    <t>FM05-02374</t>
  </si>
  <si>
    <t>FM05-02375</t>
  </si>
  <si>
    <t>FM05-02376</t>
  </si>
  <si>
    <t>FM05-02377</t>
  </si>
  <si>
    <t>FM05-02378</t>
  </si>
  <si>
    <t>FM05-02379</t>
  </si>
  <si>
    <t>FM05-02380</t>
  </si>
  <si>
    <t>FM05-02381</t>
  </si>
  <si>
    <t>FM05-02382</t>
  </si>
  <si>
    <t>FM05-02383</t>
  </si>
  <si>
    <t>FM05-02384</t>
  </si>
  <si>
    <t>FM05-02385</t>
  </si>
  <si>
    <t>FM05-02386</t>
  </si>
  <si>
    <t>FM05-02387</t>
  </si>
  <si>
    <t>FM05-02388</t>
  </si>
  <si>
    <t>FM05-02389</t>
  </si>
  <si>
    <t>FM05-02390</t>
  </si>
  <si>
    <t>FM05-02391</t>
  </si>
  <si>
    <t>FM05-02392</t>
  </si>
  <si>
    <t>FM05-02393</t>
  </si>
  <si>
    <t>FM05-02394</t>
  </si>
  <si>
    <t>FM05-02395</t>
  </si>
  <si>
    <t>FM05-02396</t>
  </si>
  <si>
    <t>FM05-02397</t>
  </si>
  <si>
    <t>FM05-02398</t>
  </si>
  <si>
    <t>FM05-02399</t>
  </si>
  <si>
    <t>FM05-02400</t>
  </si>
  <si>
    <t>FM05-02401</t>
  </si>
  <si>
    <t>FM05-02402</t>
  </si>
  <si>
    <t>FM05-02403</t>
  </si>
  <si>
    <t>FM05-02404</t>
  </si>
  <si>
    <t>FM05-02405</t>
  </si>
  <si>
    <t>FM05-02406</t>
  </si>
  <si>
    <t>FM05-02407</t>
  </si>
  <si>
    <t>FM05-02408</t>
  </si>
  <si>
    <t>FM05-02409</t>
  </si>
  <si>
    <t xml:space="preserve">Importadora  Y Suplidores VPS,S.R.L </t>
  </si>
  <si>
    <t>FM05-02410</t>
  </si>
  <si>
    <t>CK.27816</t>
  </si>
  <si>
    <t>FM05-11</t>
  </si>
  <si>
    <t>FM05-12</t>
  </si>
  <si>
    <t>FM05-13</t>
  </si>
  <si>
    <t>FM05-14</t>
  </si>
  <si>
    <t>FM05-15</t>
  </si>
  <si>
    <t xml:space="preserve">Furgonetas Belingo VU Larga Color: Blanco/ Marca:Citroen </t>
  </si>
  <si>
    <t>VR7E9HPAPJ519510</t>
  </si>
  <si>
    <t>VR7E9HPAPJ515272</t>
  </si>
  <si>
    <t>VR7E9HPAPJ515273</t>
  </si>
  <si>
    <t>VR7E9HPAPJ515274</t>
  </si>
  <si>
    <t>VR7E9HPAPJ515275</t>
  </si>
  <si>
    <t>Parqueo de Conavihsida</t>
  </si>
  <si>
    <t>Almacen del SNS (Fraile)</t>
  </si>
  <si>
    <t>S0B2214N03827</t>
  </si>
  <si>
    <t>Junior Reyes            Supervisor Almacen y Suministros SNS</t>
  </si>
  <si>
    <t>FM05-0001</t>
  </si>
  <si>
    <t>FM05-0002</t>
  </si>
  <si>
    <t>FM05-0003</t>
  </si>
  <si>
    <t>FM05-0004</t>
  </si>
  <si>
    <t>FM05-0005</t>
  </si>
  <si>
    <t>FM05-0006</t>
  </si>
  <si>
    <t>FM05-0007</t>
  </si>
  <si>
    <t>FM05-0008</t>
  </si>
  <si>
    <t>FM05-0009</t>
  </si>
  <si>
    <t>FM05-0011</t>
  </si>
  <si>
    <t>FM05-0012</t>
  </si>
  <si>
    <t>FM05-0013</t>
  </si>
  <si>
    <t>FM05-0010</t>
  </si>
  <si>
    <t>CK.27817</t>
  </si>
  <si>
    <t>Impresora Toshiba  E-Studio 2520AC Digital MFP</t>
  </si>
  <si>
    <t>CSJM21121</t>
  </si>
  <si>
    <t>CSJM19728</t>
  </si>
  <si>
    <t xml:space="preserve">Salud Publica </t>
  </si>
  <si>
    <t>Conavihsida</t>
  </si>
  <si>
    <t xml:space="preserve">UTI </t>
  </si>
  <si>
    <t>CK.27826</t>
  </si>
  <si>
    <t>CSJ321151</t>
  </si>
  <si>
    <t>GRUPO AVANT</t>
  </si>
  <si>
    <t>DISTOSA SRL</t>
  </si>
  <si>
    <t>Ck.27857</t>
  </si>
  <si>
    <t xml:space="preserve">Laptop Dell Precision 7670 Tipo B-16 " Black , Incluye Teclado y Bulto </t>
  </si>
  <si>
    <t xml:space="preserve">Monitor Flat Dell de 27 Pulgadas </t>
  </si>
  <si>
    <t xml:space="preserve">Scaner de Mesa Fujitsu Scansnap IX1600 Duplex/USB/Wireless </t>
  </si>
  <si>
    <t>Monitor Flat Dell de 27 Pulgadas LCD</t>
  </si>
  <si>
    <t xml:space="preserve">SRS Metropolitano </t>
  </si>
  <si>
    <t xml:space="preserve">SRS Cibao Central </t>
  </si>
  <si>
    <t>Santo Domingo D.N</t>
  </si>
  <si>
    <t>Lib.505-1</t>
  </si>
  <si>
    <t>Sillon Gerencial</t>
  </si>
  <si>
    <t>GOBDOM-02-01944</t>
  </si>
  <si>
    <t>GOBDOM-02-01945</t>
  </si>
  <si>
    <t>GOBDOM-02-01946</t>
  </si>
  <si>
    <t>GOBDOM-02-01947</t>
  </si>
  <si>
    <t>GOBDOM-02-01948</t>
  </si>
  <si>
    <t>GOBDOM-02-01949</t>
  </si>
  <si>
    <t>GOBDOM-02-01950</t>
  </si>
  <si>
    <t>GOBDOM-02-01951</t>
  </si>
  <si>
    <t>GOBDOM-02-01952</t>
  </si>
  <si>
    <t>GOBDOM-02-01953</t>
  </si>
  <si>
    <t>GOBDOM-02-01954</t>
  </si>
  <si>
    <t>GOBDOM-02-01955</t>
  </si>
  <si>
    <t>GOBDOM-02-01956</t>
  </si>
  <si>
    <t>GOBDOM-02-01957</t>
  </si>
  <si>
    <t>GOBDOM-02-01958</t>
  </si>
  <si>
    <t>GOBDOM-02-01959</t>
  </si>
  <si>
    <t>GOBDOM-02-01960</t>
  </si>
  <si>
    <t>GOBDOM-02-01961</t>
  </si>
  <si>
    <t>GOBDOM-02-01962</t>
  </si>
  <si>
    <t>GOBDOM-02-01963</t>
  </si>
  <si>
    <t>GOBDOM-02-01964</t>
  </si>
  <si>
    <t>GOBDOM-02-01965</t>
  </si>
  <si>
    <t>GOBDOM-02-01966</t>
  </si>
  <si>
    <t>GOBDOM-02-01967</t>
  </si>
  <si>
    <t>GOBDOM-02-01968</t>
  </si>
  <si>
    <t>GOBDOM-02-01969</t>
  </si>
  <si>
    <t>GOBDOM-02-01970</t>
  </si>
  <si>
    <t>GOBDOM-02-01971</t>
  </si>
  <si>
    <t>GOBDOM-02-01972</t>
  </si>
  <si>
    <t>GOBDOM-02-01973</t>
  </si>
  <si>
    <t>GOBDOM-02-01974</t>
  </si>
  <si>
    <t>GOBDOM-02-01975</t>
  </si>
  <si>
    <t>GOBDOM-02-01976</t>
  </si>
  <si>
    <t>GOBDOM-02-01977</t>
  </si>
  <si>
    <t>GOBDOM-02-01978</t>
  </si>
  <si>
    <t>GOBDOM-02-01979</t>
  </si>
  <si>
    <t>GOBDOM-02-01980</t>
  </si>
  <si>
    <t>GOBDOM-02-01981</t>
  </si>
  <si>
    <t>GOBDOM-02-01982</t>
  </si>
  <si>
    <t>GOBDOM-02-01983</t>
  </si>
  <si>
    <t>GOBDOM-02-01984</t>
  </si>
  <si>
    <t>GOBDOM-02-01985</t>
  </si>
  <si>
    <t>GOBDOM-02-01986</t>
  </si>
  <si>
    <t>GOBDOM-02-01987</t>
  </si>
  <si>
    <t>GOBDOM-02-01988</t>
  </si>
  <si>
    <t>GOBDOM-02-01989</t>
  </si>
  <si>
    <t>GOBDOM-02-01990</t>
  </si>
  <si>
    <t>GOBDOM-02-01991</t>
  </si>
  <si>
    <t xml:space="preserve">Sillon Ejecutivo </t>
  </si>
  <si>
    <t xml:space="preserve">Sillon Tecnico </t>
  </si>
  <si>
    <t xml:space="preserve">Archivo Metal de 3 Cajones Modulares, Color:Gris  </t>
  </si>
  <si>
    <t xml:space="preserve">Archivo de Metal de 4 Cajones </t>
  </si>
  <si>
    <t>Total Año 2023</t>
  </si>
  <si>
    <t>Total año 2023</t>
  </si>
  <si>
    <t xml:space="preserve">Fecha Adquisicion </t>
  </si>
  <si>
    <t xml:space="preserve">Fecha de Registro </t>
  </si>
  <si>
    <r>
      <t xml:space="preserve">GOBDOM-0201813(SIAB) </t>
    </r>
    <r>
      <rPr>
        <b/>
        <sz val="10"/>
        <rFont val="Arial"/>
        <family val="2"/>
      </rPr>
      <t>GOBDOM-02-01819</t>
    </r>
  </si>
  <si>
    <t>GOBDOM-02-01799</t>
  </si>
  <si>
    <t>Ck.27807</t>
  </si>
  <si>
    <t>UPS SRT de APC - SRT10KRMXLT SMART 1000 VA,RM 208,6U</t>
  </si>
  <si>
    <t>AS2201271919</t>
  </si>
  <si>
    <t xml:space="preserve">CRITIFCAL POWER </t>
  </si>
  <si>
    <t xml:space="preserve">UPS SRT de APC - SRT10KRMXLT SMART/ TRANSFORMADOR </t>
  </si>
  <si>
    <t>7S2218L00337</t>
  </si>
  <si>
    <t>Ck.27918</t>
  </si>
  <si>
    <t>YHXQ25XWVH</t>
  </si>
  <si>
    <t>NVQNC4JWNN</t>
  </si>
  <si>
    <t xml:space="preserve">LAPTOP IPAD (Macbook) Pro Silver Tipo A "16" Color:  Gris </t>
  </si>
  <si>
    <t>LAPTOP IPAD (Macbook)  AIR Midnight Tipo B 13.6</t>
  </si>
  <si>
    <t>DM70JMGKCF</t>
  </si>
  <si>
    <t>Z1610005J</t>
  </si>
  <si>
    <t>L640YTPH9D</t>
  </si>
  <si>
    <t>XHRHWJ7HVX</t>
  </si>
  <si>
    <t>FM05-02439</t>
  </si>
  <si>
    <t>FM05-02440</t>
  </si>
  <si>
    <t>FM05-02441</t>
  </si>
  <si>
    <t>FM05-02442</t>
  </si>
  <si>
    <t>FM05-02443</t>
  </si>
  <si>
    <t>FM05-02444</t>
  </si>
  <si>
    <t>FM05-02445</t>
  </si>
  <si>
    <t xml:space="preserve">CAJUFA </t>
  </si>
  <si>
    <t>TABLET IPAD PRO 12.9 SPACE COLOR:GRAY</t>
  </si>
  <si>
    <t>Ck.27819</t>
  </si>
  <si>
    <t xml:space="preserve">Cable USB-C A HDMI de 15 Pies/ 14.8 FT , Cantidad: 12 </t>
  </si>
  <si>
    <t>FM05-S/N 01-FM05-S/N 12</t>
  </si>
  <si>
    <t>FM05-S/N 13-FM05-S/N 17</t>
  </si>
  <si>
    <t>Cable Trenzado USB-C A HDMI de 25 FT , Cantidad: 5</t>
  </si>
  <si>
    <t>FM05-S/N 18-FM05-S/N 27</t>
  </si>
  <si>
    <t>Cable Trenzado  HDMI de 25 FT , Cantidad: 10</t>
  </si>
  <si>
    <t xml:space="preserve">Departamento Financiero </t>
  </si>
  <si>
    <t xml:space="preserve">Departamento Administrativo </t>
  </si>
  <si>
    <t xml:space="preserve">Archivo y Corespondecia </t>
  </si>
  <si>
    <t xml:space="preserve">Departamento Administrativo / Doña Miriam Baez </t>
  </si>
  <si>
    <t xml:space="preserve">Controles Interno /Yoel Mieses </t>
  </si>
  <si>
    <t xml:space="preserve">Controles Interno /Luisa </t>
  </si>
  <si>
    <t xml:space="preserve">Dep. de Acceso a la Infomacion /Jenifer Marti </t>
  </si>
  <si>
    <t xml:space="preserve">Dep. de Acceso a la Infomacion /Maximo Viola </t>
  </si>
  <si>
    <t xml:space="preserve">UTIC/ Vilma Peralta </t>
  </si>
  <si>
    <t xml:space="preserve">Auditores Interno </t>
  </si>
  <si>
    <t xml:space="preserve">Poblaciones Claves </t>
  </si>
  <si>
    <t xml:space="preserve">Control Interno </t>
  </si>
  <si>
    <t xml:space="preserve">Pasillo de Recepcion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</si>
  <si>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</si>
  <si>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Mao</t>
  </si>
  <si>
    <t xml:space="preserve">San Pedro de Macoris </t>
  </si>
  <si>
    <t xml:space="preserve">Santiago de los Caballero </t>
  </si>
  <si>
    <t>Servicio Regional de Salud V</t>
  </si>
  <si>
    <t xml:space="preserve">Servicio Regional de Salud Norcentral </t>
  </si>
  <si>
    <t>CLINICA FUNDACION MIR / CLINICA DE FAMILIA</t>
  </si>
  <si>
    <t xml:space="preserve">Constanza/Area De Vacuna </t>
  </si>
  <si>
    <t xml:space="preserve">Monseñor Nouel, Bonao/Hosp. Viejo </t>
  </si>
  <si>
    <t xml:space="preserve">Monseñor Nouel, Bonao/ Almacen </t>
  </si>
  <si>
    <t>SAN CRISTOBAL</t>
  </si>
  <si>
    <t xml:space="preserve">Digecitss/ Santo Domingo </t>
  </si>
  <si>
    <t>LA VEGA</t>
  </si>
  <si>
    <t>Bani/Villa Fundación</t>
  </si>
  <si>
    <t>SANTIAGO DE LOS CABALLEROS</t>
  </si>
  <si>
    <t>Miches/Conserjeria</t>
  </si>
  <si>
    <t>Hosp. Mun. De Miches</t>
  </si>
  <si>
    <t>Centro Especializado de Atencion de Salud Juan XXIII</t>
  </si>
  <si>
    <t>Bani /Juanita Rosa R.</t>
  </si>
  <si>
    <t xml:space="preserve"> Barahona</t>
  </si>
  <si>
    <t xml:space="preserve">Hosp. Jaime Motas </t>
  </si>
  <si>
    <t>San Juan/Lourdes Odalis Tejeda</t>
  </si>
  <si>
    <t>SANTO DOMINGO</t>
  </si>
  <si>
    <t>Mao,Valverde</t>
  </si>
  <si>
    <t xml:space="preserve"> Gestión Humana   Miguel Ruiz</t>
  </si>
  <si>
    <t>Gestion  Humana Miguel Ruiz</t>
  </si>
  <si>
    <t xml:space="preserve"> Planificación y Desarrollo Noemi Encarnación</t>
  </si>
  <si>
    <t xml:space="preserve"> Planificación y Desarrollo Francia</t>
  </si>
  <si>
    <t xml:space="preserve">Tecnologia </t>
  </si>
  <si>
    <t xml:space="preserve">CENTRO MATERNO INFANTIL SAN LORENZO DE LOS MINAS/ VIH PEDIATRIA </t>
  </si>
  <si>
    <t>CENTRO MATERNO INFANTIL SAN LORENZO DE LOS MINAS/ VIH EMBARAZADA</t>
  </si>
  <si>
    <t xml:space="preserve">CONAVIHSIDA/ALMACEN </t>
  </si>
  <si>
    <t xml:space="preserve">Gerencia Técnica   </t>
  </si>
  <si>
    <t xml:space="preserve">SERVICIO REGIONAL DE SALUD EL VALLE </t>
  </si>
  <si>
    <t>Mao, Valverde</t>
  </si>
  <si>
    <t xml:space="preserve">     Barahona</t>
  </si>
  <si>
    <t xml:space="preserve">    Barahona</t>
  </si>
  <si>
    <t xml:space="preserve">             La Vega</t>
  </si>
  <si>
    <t xml:space="preserve">      Barahona</t>
  </si>
  <si>
    <t xml:space="preserve">        Barahona</t>
  </si>
  <si>
    <t xml:space="preserve">                La Vega</t>
  </si>
  <si>
    <t xml:space="preserve">   Barahona</t>
  </si>
  <si>
    <t xml:space="preserve">Recepcion </t>
  </si>
  <si>
    <r>
      <t xml:space="preserve">(**) </t>
    </r>
    <r>
      <rPr>
        <sz val="11"/>
        <color theme="1"/>
        <rFont val="Arial"/>
        <family val="2"/>
      </rPr>
      <t>HPLC LaChorom Elite de Merck-Hitachi. Incluye: Módulo de Bomba, Sistema de Gradientes, Horno, Detector UV, Detector Fluorescencia, Auto-Muestrador, Software, Computadora e Impresora. Utilizado para Cromatografía Líquida.</t>
    </r>
  </si>
  <si>
    <r>
      <rPr>
        <b/>
        <sz val="11"/>
        <color theme="1"/>
        <rFont val="Arial"/>
        <family val="2"/>
      </rPr>
      <t>Chasis:</t>
    </r>
    <r>
      <rPr>
        <sz val="11"/>
        <color theme="1"/>
        <rFont val="Arial"/>
        <family val="2"/>
      </rPr>
      <t xml:space="preserve"> VR7E9HPAPJ519510/ </t>
    </r>
    <r>
      <rPr>
        <b/>
        <sz val="11"/>
        <color theme="1"/>
        <rFont val="Arial"/>
        <family val="2"/>
      </rPr>
      <t>Placa:</t>
    </r>
    <r>
      <rPr>
        <sz val="11"/>
        <color theme="1"/>
        <rFont val="Arial"/>
        <family val="2"/>
      </rPr>
      <t>L468129</t>
    </r>
  </si>
  <si>
    <r>
      <rPr>
        <b/>
        <sz val="11"/>
        <color theme="1"/>
        <rFont val="Arial"/>
        <family val="2"/>
      </rPr>
      <t>Chasis:</t>
    </r>
    <r>
      <rPr>
        <sz val="11"/>
        <color theme="1"/>
        <rFont val="Arial"/>
        <family val="2"/>
      </rPr>
      <t>VR7E9HPAPJ515272/</t>
    </r>
    <r>
      <rPr>
        <b/>
        <sz val="11"/>
        <color theme="1"/>
        <rFont val="Arial"/>
        <family val="2"/>
      </rPr>
      <t xml:space="preserve"> Placa: </t>
    </r>
    <r>
      <rPr>
        <sz val="11"/>
        <color theme="1"/>
        <rFont val="Arial"/>
        <family val="2"/>
      </rPr>
      <t>L468128</t>
    </r>
  </si>
  <si>
    <r>
      <rPr>
        <b/>
        <sz val="11"/>
        <color theme="1"/>
        <rFont val="Arial"/>
        <family val="2"/>
      </rPr>
      <t>Chasis:</t>
    </r>
    <r>
      <rPr>
        <sz val="11"/>
        <color theme="1"/>
        <rFont val="Arial"/>
        <family val="2"/>
      </rPr>
      <t xml:space="preserve">VR7E9HPAPJ515273/ </t>
    </r>
    <r>
      <rPr>
        <b/>
        <sz val="11"/>
        <color theme="1"/>
        <rFont val="Arial"/>
        <family val="2"/>
      </rPr>
      <t>Placa:</t>
    </r>
    <r>
      <rPr>
        <sz val="11"/>
        <color theme="1"/>
        <rFont val="Arial"/>
        <family val="2"/>
      </rPr>
      <t>L468126</t>
    </r>
  </si>
  <si>
    <r>
      <rPr>
        <b/>
        <sz val="11"/>
        <color theme="1"/>
        <rFont val="Arial"/>
        <family val="2"/>
      </rPr>
      <t>Chasis:</t>
    </r>
    <r>
      <rPr>
        <sz val="11"/>
        <color theme="1"/>
        <rFont val="Arial"/>
        <family val="2"/>
      </rPr>
      <t xml:space="preserve">VR7E9HPAPJ515274/ </t>
    </r>
    <r>
      <rPr>
        <b/>
        <sz val="11"/>
        <color theme="1"/>
        <rFont val="Arial"/>
        <family val="2"/>
      </rPr>
      <t>Placa:</t>
    </r>
    <r>
      <rPr>
        <sz val="11"/>
        <color theme="1"/>
        <rFont val="Arial"/>
        <family val="2"/>
      </rPr>
      <t>L468127</t>
    </r>
  </si>
  <si>
    <r>
      <rPr>
        <b/>
        <sz val="11"/>
        <color theme="1"/>
        <rFont val="Arial"/>
        <family val="2"/>
      </rPr>
      <t>Chasis:</t>
    </r>
    <r>
      <rPr>
        <sz val="11"/>
        <color theme="1"/>
        <rFont val="Arial"/>
        <family val="2"/>
      </rPr>
      <t xml:space="preserve">VR7E9HPAPJ515275/   </t>
    </r>
    <r>
      <rPr>
        <b/>
        <sz val="11"/>
        <color theme="1"/>
        <rFont val="Arial"/>
        <family val="2"/>
      </rPr>
      <t>Placa:</t>
    </r>
    <r>
      <rPr>
        <sz val="11"/>
        <color theme="1"/>
        <rFont val="Arial"/>
        <family val="2"/>
      </rPr>
      <t>L468125</t>
    </r>
  </si>
  <si>
    <r>
      <t xml:space="preserve">FM05-01862 </t>
    </r>
    <r>
      <rPr>
        <b/>
        <sz val="11"/>
        <rFont val="Arial"/>
        <family val="2"/>
      </rPr>
      <t>(GOBDOM-02-01851)</t>
    </r>
  </si>
  <si>
    <r>
      <t xml:space="preserve">FM05-01863 </t>
    </r>
    <r>
      <rPr>
        <b/>
        <sz val="11"/>
        <rFont val="Arial"/>
        <family val="2"/>
      </rPr>
      <t>(GOBDOM-02-01852)</t>
    </r>
  </si>
  <si>
    <r>
      <t xml:space="preserve">FM05-01864 </t>
    </r>
    <r>
      <rPr>
        <b/>
        <sz val="11"/>
        <rFont val="Arial"/>
        <family val="2"/>
      </rPr>
      <t>(GOBDOM-02-01853)</t>
    </r>
  </si>
  <si>
    <r>
      <t>FM05-01865</t>
    </r>
    <r>
      <rPr>
        <b/>
        <sz val="11"/>
        <rFont val="Arial"/>
        <family val="2"/>
      </rPr>
      <t>(GOBDOM-02-01854)</t>
    </r>
  </si>
  <si>
    <r>
      <t xml:space="preserve">Escritorio MYO,Con 3 Cajones con Seguro, Base Metal, </t>
    </r>
    <r>
      <rPr>
        <b/>
        <sz val="11"/>
        <rFont val="Arial"/>
        <family val="2"/>
      </rPr>
      <t>Color</t>
    </r>
    <r>
      <rPr>
        <sz val="11"/>
        <rFont val="Arial"/>
        <family val="2"/>
      </rPr>
      <t xml:space="preserve"> Gris/Almendra.</t>
    </r>
  </si>
  <si>
    <r>
      <t>FM05-01866</t>
    </r>
    <r>
      <rPr>
        <b/>
        <sz val="11"/>
        <rFont val="Arial"/>
        <family val="2"/>
      </rPr>
      <t>(GOBDOM-02-01855)</t>
    </r>
  </si>
  <si>
    <r>
      <t>FM05-01867</t>
    </r>
    <r>
      <rPr>
        <b/>
        <sz val="11"/>
        <rFont val="Arial"/>
        <family val="2"/>
      </rPr>
      <t>(GOBDOM-02-01856)</t>
    </r>
  </si>
  <si>
    <r>
      <t>FM05-01868</t>
    </r>
    <r>
      <rPr>
        <b/>
        <sz val="11"/>
        <rFont val="Arial"/>
        <family val="2"/>
      </rPr>
      <t>(GOBDOM-02-01857)</t>
    </r>
  </si>
  <si>
    <r>
      <t>FM05-01869</t>
    </r>
    <r>
      <rPr>
        <b/>
        <sz val="11"/>
        <rFont val="Arial"/>
        <family val="2"/>
      </rPr>
      <t>(GOBDOM-02-01858)</t>
    </r>
  </si>
  <si>
    <r>
      <t>FM05-01870</t>
    </r>
    <r>
      <rPr>
        <b/>
        <sz val="11"/>
        <rFont val="Arial"/>
        <family val="2"/>
      </rPr>
      <t>(GOBDOM-02-01859)</t>
    </r>
  </si>
  <si>
    <r>
      <t>FM05-01871</t>
    </r>
    <r>
      <rPr>
        <b/>
        <sz val="11"/>
        <rFont val="Arial"/>
        <family val="2"/>
      </rPr>
      <t>(GOBDOM-02-01860)</t>
    </r>
  </si>
  <si>
    <r>
      <t>FM05-01872</t>
    </r>
    <r>
      <rPr>
        <b/>
        <sz val="11"/>
        <rFont val="Arial"/>
        <family val="2"/>
      </rPr>
      <t>(GOBDOM-02-01861)</t>
    </r>
  </si>
  <si>
    <r>
      <t xml:space="preserve">Cafetera Electrica de 12 Tazas Protor/Silex </t>
    </r>
    <r>
      <rPr>
        <b/>
        <sz val="11"/>
        <rFont val="Arial"/>
        <family val="2"/>
      </rPr>
      <t>Color</t>
    </r>
    <r>
      <rPr>
        <sz val="11"/>
        <rFont val="Arial"/>
        <family val="2"/>
      </rPr>
      <t xml:space="preserve"> Negra </t>
    </r>
  </si>
  <si>
    <r>
      <t>FM05-01873</t>
    </r>
    <r>
      <rPr>
        <b/>
        <sz val="11"/>
        <rFont val="Arial"/>
        <family val="2"/>
      </rPr>
      <t>(GOBDOM-02-01862)</t>
    </r>
  </si>
  <si>
    <r>
      <t>Carros Plataforma para el Transporte de Cajas de  Dimension 24 x48 (</t>
    </r>
    <r>
      <rPr>
        <b/>
        <sz val="11"/>
        <rFont val="Arial"/>
        <family val="2"/>
      </rPr>
      <t>Carros de Almacen</t>
    </r>
    <r>
      <rPr>
        <sz val="11"/>
        <rFont val="Arial"/>
        <family val="2"/>
      </rPr>
      <t>).</t>
    </r>
  </si>
  <si>
    <r>
      <t xml:space="preserve">Abanico Industriales Para la Nave de 30 pulgadas,Marca </t>
    </r>
    <r>
      <rPr>
        <b/>
        <sz val="11"/>
        <rFont val="Arial"/>
        <family val="2"/>
      </rPr>
      <t>SANKEY</t>
    </r>
  </si>
  <si>
    <r>
      <t xml:space="preserve">Archivo Vertical Metalico de 4 Gavetas, </t>
    </r>
    <r>
      <rPr>
        <b/>
        <sz val="11"/>
        <rFont val="Arial"/>
        <family val="2"/>
      </rPr>
      <t>Color</t>
    </r>
    <r>
      <rPr>
        <sz val="11"/>
        <rFont val="Arial"/>
        <family val="2"/>
      </rPr>
      <t xml:space="preserve"> Gris criollo     </t>
    </r>
  </si>
  <si>
    <t>Lib.1313-1</t>
  </si>
  <si>
    <t>GOBDOM-02-01993</t>
  </si>
  <si>
    <t>JEEP NEGRO CHEVROLET-</t>
  </si>
  <si>
    <t xml:space="preserve">Direccion Ejecutiva </t>
  </si>
  <si>
    <r>
      <t xml:space="preserve">Gradilla Plastica P/50 Tubos (5-10ml). Cantidad: </t>
    </r>
    <r>
      <rPr>
        <b/>
        <sz val="11"/>
        <rFont val="Arial"/>
        <family val="2"/>
      </rPr>
      <t>4</t>
    </r>
    <r>
      <rPr>
        <sz val="11"/>
        <color theme="1"/>
        <rFont val="Arial"/>
        <family val="2"/>
      </rPr>
      <t xml:space="preserve"> Unidades</t>
    </r>
  </si>
  <si>
    <r>
      <t xml:space="preserve">Tubo Micro-Centrifuga 1.5ml C/Tapon Esteril PCR. Cantidad: </t>
    </r>
    <r>
      <rPr>
        <b/>
        <sz val="11"/>
        <rFont val="Arial"/>
        <family val="2"/>
      </rPr>
      <t>35</t>
    </r>
    <r>
      <rPr>
        <sz val="11"/>
        <color theme="1"/>
        <rFont val="Arial"/>
        <family val="2"/>
      </rPr>
      <t xml:space="preserve"> Unidades.</t>
    </r>
  </si>
  <si>
    <r>
      <t xml:space="preserve">Gradilla Plastica P/72 Tubos (3-5ml). Cantidad: </t>
    </r>
    <r>
      <rPr>
        <b/>
        <sz val="11"/>
        <rFont val="Arial"/>
        <family val="2"/>
      </rPr>
      <t>6</t>
    </r>
    <r>
      <rPr>
        <sz val="11"/>
        <color theme="1"/>
        <rFont val="Arial"/>
        <family val="2"/>
      </rPr>
      <t xml:space="preserve"> Unidades</t>
    </r>
  </si>
  <si>
    <r>
      <t xml:space="preserve">Gradilla Plastica P/36 Tubos (3-5ml). Cantidad: </t>
    </r>
    <r>
      <rPr>
        <b/>
        <sz val="11"/>
        <rFont val="Arial"/>
        <family val="2"/>
      </rPr>
      <t>8</t>
    </r>
    <r>
      <rPr>
        <sz val="11"/>
        <color theme="1"/>
        <rFont val="Arial"/>
        <family val="2"/>
      </rPr>
      <t xml:space="preserve"> Unidades</t>
    </r>
  </si>
  <si>
    <r>
      <t xml:space="preserve">Gradilla Plastica P/24 Microtubos de 1.5/2ml  Cantidad: </t>
    </r>
    <r>
      <rPr>
        <b/>
        <sz val="11"/>
        <rFont val="Arial"/>
        <family val="2"/>
      </rPr>
      <t>6</t>
    </r>
    <r>
      <rPr>
        <sz val="11"/>
        <color theme="1"/>
        <rFont val="Arial"/>
        <family val="2"/>
      </rPr>
      <t xml:space="preserve"> Unidades</t>
    </r>
  </si>
  <si>
    <r>
      <t xml:space="preserve">Gradilla Plastica P/72 Tubos (3-5ml). Cantidad: </t>
    </r>
    <r>
      <rPr>
        <b/>
        <sz val="11"/>
        <rFont val="Arial"/>
        <family val="2"/>
      </rPr>
      <t>4</t>
    </r>
    <r>
      <rPr>
        <sz val="11"/>
        <color theme="1"/>
        <rFont val="Arial"/>
        <family val="2"/>
      </rPr>
      <t xml:space="preserve"> Unidades</t>
    </r>
  </si>
  <si>
    <r>
      <t xml:space="preserve">Gradilla Plastica P/36 Tubos (3-5ml). Cantidad: </t>
    </r>
    <r>
      <rPr>
        <b/>
        <sz val="11"/>
        <rFont val="Arial"/>
        <family val="2"/>
      </rPr>
      <t>6</t>
    </r>
    <r>
      <rPr>
        <sz val="11"/>
        <color theme="1"/>
        <rFont val="Arial"/>
        <family val="2"/>
      </rPr>
      <t xml:space="preserve"> Unidades</t>
    </r>
  </si>
  <si>
    <r>
      <t xml:space="preserve">Gradilla Plastica P/50 Tubos (5-10ml). Cantidad: </t>
    </r>
    <r>
      <rPr>
        <b/>
        <sz val="11"/>
        <rFont val="Arial"/>
        <family val="2"/>
      </rPr>
      <t>2</t>
    </r>
    <r>
      <rPr>
        <sz val="11"/>
        <color theme="1"/>
        <rFont val="Arial"/>
        <family val="2"/>
      </rPr>
      <t xml:space="preserve"> Unidades</t>
    </r>
  </si>
  <si>
    <r>
      <t xml:space="preserve">Gradilla Plastica P/24 Microtubos de 1.5/2ml  Cantidad: </t>
    </r>
    <r>
      <rPr>
        <b/>
        <sz val="11"/>
        <rFont val="Arial"/>
        <family val="2"/>
      </rPr>
      <t>4</t>
    </r>
    <r>
      <rPr>
        <sz val="11"/>
        <color theme="1"/>
        <rFont val="Arial"/>
        <family val="2"/>
      </rPr>
      <t xml:space="preserve"> Unidades</t>
    </r>
  </si>
  <si>
    <r>
      <t xml:space="preserve">Gradilla Plastica P/72 Tubos (3-5ml). Cantidad: </t>
    </r>
    <r>
      <rPr>
        <b/>
        <sz val="11"/>
        <rFont val="Arial"/>
        <family val="2"/>
      </rPr>
      <t>08</t>
    </r>
    <r>
      <rPr>
        <sz val="11"/>
        <color theme="1"/>
        <rFont val="Arial"/>
        <family val="2"/>
      </rPr>
      <t xml:space="preserve"> Unidades</t>
    </r>
  </si>
  <si>
    <r>
      <t xml:space="preserve">Gradilla Plastica P/36 Tubos (3-5ml). Cantidad: </t>
    </r>
    <r>
      <rPr>
        <b/>
        <sz val="11"/>
        <rFont val="Arial"/>
        <family val="2"/>
      </rPr>
      <t>10</t>
    </r>
    <r>
      <rPr>
        <sz val="11"/>
        <color theme="1"/>
        <rFont val="Arial"/>
        <family val="2"/>
      </rPr>
      <t xml:space="preserve"> Unidades</t>
    </r>
  </si>
  <si>
    <r>
      <t xml:space="preserve">Gradilla Plastica P/24 Microtubos de 1.5/2ml  Cantidad: </t>
    </r>
    <r>
      <rPr>
        <b/>
        <sz val="11"/>
        <rFont val="Arial"/>
        <family val="2"/>
      </rPr>
      <t>8</t>
    </r>
    <r>
      <rPr>
        <sz val="11"/>
        <color theme="1"/>
        <rFont val="Arial"/>
        <family val="2"/>
      </rPr>
      <t xml:space="preserve"> Unidades</t>
    </r>
  </si>
  <si>
    <r>
      <t>Tubo Micro-Centrifuga 1.5ml C/Tapon Esteril PCR. Cantidad:</t>
    </r>
    <r>
      <rPr>
        <b/>
        <sz val="11"/>
        <rFont val="Arial"/>
        <family val="2"/>
      </rPr>
      <t xml:space="preserve"> 50</t>
    </r>
    <r>
      <rPr>
        <sz val="11"/>
        <color theme="1"/>
        <rFont val="Arial"/>
        <family val="2"/>
      </rPr>
      <t xml:space="preserve"> Unidades.</t>
    </r>
  </si>
  <si>
    <r>
      <t xml:space="preserve">Tapa para Tubo de Ensayo (12x75)               Cantidad: </t>
    </r>
    <r>
      <rPr>
        <b/>
        <sz val="11"/>
        <rFont val="Arial"/>
        <family val="2"/>
      </rPr>
      <t>14</t>
    </r>
    <r>
      <rPr>
        <sz val="11"/>
        <color theme="1"/>
        <rFont val="Arial"/>
        <family val="2"/>
      </rPr>
      <t xml:space="preserve"> Paquete de 250 Unidades</t>
    </r>
  </si>
  <si>
    <r>
      <t xml:space="preserve">Punta de Cera. Cantidad: </t>
    </r>
    <r>
      <rPr>
        <b/>
        <sz val="11"/>
        <rFont val="Arial"/>
        <family val="2"/>
      </rPr>
      <t>2</t>
    </r>
    <r>
      <rPr>
        <sz val="11"/>
        <color theme="1"/>
        <rFont val="Arial"/>
        <family val="2"/>
      </rPr>
      <t xml:space="preserve"> Unidades</t>
    </r>
  </si>
  <si>
    <r>
      <t xml:space="preserve">Tubo de Ensayo de 3ml - 5ml (12x75)           Cantidad: </t>
    </r>
    <r>
      <rPr>
        <b/>
        <sz val="11"/>
        <rFont val="Arial"/>
        <family val="2"/>
      </rPr>
      <t>14</t>
    </r>
    <r>
      <rPr>
        <sz val="11"/>
        <color theme="1"/>
        <rFont val="Arial"/>
        <family val="2"/>
      </rPr>
      <t xml:space="preserve"> Paquete de 250 Unidades</t>
    </r>
  </si>
  <si>
    <r>
      <t xml:space="preserve">Gradilla Plástica P/24 Microtubos (1.5ml a 2.0ml). Cantidad: </t>
    </r>
    <r>
      <rPr>
        <b/>
        <sz val="11"/>
        <rFont val="Arial"/>
        <family val="2"/>
      </rPr>
      <t>01</t>
    </r>
    <r>
      <rPr>
        <sz val="11"/>
        <color theme="1"/>
        <rFont val="Arial"/>
        <family val="2"/>
      </rPr>
      <t xml:space="preserve"> Unidades</t>
    </r>
  </si>
  <si>
    <r>
      <t xml:space="preserve">Gradilla Plástica P/36 Microtubos Azul (10-13ml). Cantidad: </t>
    </r>
    <r>
      <rPr>
        <b/>
        <sz val="11"/>
        <rFont val="Arial"/>
        <family val="2"/>
      </rPr>
      <t>04</t>
    </r>
    <r>
      <rPr>
        <sz val="11"/>
        <color theme="1"/>
        <rFont val="Arial"/>
        <family val="2"/>
      </rPr>
      <t xml:space="preserve"> Unidades</t>
    </r>
  </si>
  <si>
    <r>
      <t xml:space="preserve">Gradilla Plastica P/72 Microtubos Naranja (10-13ml). Cantidad: </t>
    </r>
    <r>
      <rPr>
        <b/>
        <sz val="11"/>
        <rFont val="Arial"/>
        <family val="2"/>
      </rPr>
      <t>04</t>
    </r>
    <r>
      <rPr>
        <sz val="11"/>
        <color theme="1"/>
        <rFont val="Arial"/>
        <family val="2"/>
      </rPr>
      <t xml:space="preserve"> Unidades</t>
    </r>
  </si>
  <si>
    <r>
      <t xml:space="preserve">Soporte Finnpipette P/3 Pipetas Gris Thermo. Cantidad: </t>
    </r>
    <r>
      <rPr>
        <b/>
        <sz val="11"/>
        <rFont val="Arial"/>
        <family val="2"/>
      </rPr>
      <t>02</t>
    </r>
    <r>
      <rPr>
        <sz val="11"/>
        <color theme="1"/>
        <rFont val="Arial"/>
        <family val="2"/>
      </rPr>
      <t xml:space="preserve"> Unidades.</t>
    </r>
  </si>
  <si>
    <r>
      <t xml:space="preserve">Tip C/Filtro Art. 100- 1000ul 88.3mm PCR         (8 x 100). Cantidad: </t>
    </r>
    <r>
      <rPr>
        <b/>
        <sz val="11"/>
        <rFont val="Arial"/>
        <family val="2"/>
      </rPr>
      <t>04</t>
    </r>
    <r>
      <rPr>
        <sz val="11"/>
        <color theme="1"/>
        <rFont val="Arial"/>
        <family val="2"/>
      </rPr>
      <t xml:space="preserve"> Unidades.</t>
    </r>
  </si>
  <si>
    <r>
      <t xml:space="preserve">Gradilla Plástica P/50 Microtubos Azul Doble. Cantidad: </t>
    </r>
    <r>
      <rPr>
        <b/>
        <sz val="11"/>
        <rFont val="Arial"/>
        <family val="2"/>
      </rPr>
      <t>04</t>
    </r>
    <r>
      <rPr>
        <sz val="11"/>
        <color theme="1"/>
        <rFont val="Arial"/>
        <family val="2"/>
      </rPr>
      <t xml:space="preserve"> Unidades.</t>
    </r>
  </si>
  <si>
    <r>
      <t xml:space="preserve">Tips Amarillo Sin Rosca. Paq./1000. Cantidad: </t>
    </r>
    <r>
      <rPr>
        <b/>
        <sz val="11"/>
        <rFont val="Arial"/>
        <family val="2"/>
      </rPr>
      <t>10</t>
    </r>
    <r>
      <rPr>
        <sz val="11"/>
        <color theme="1"/>
        <rFont val="Arial"/>
        <family val="2"/>
      </rPr>
      <t xml:space="preserve"> Unidades.</t>
    </r>
  </si>
  <si>
    <r>
      <t xml:space="preserve">San Cristobal /Servicio Regional de Salud Valdesia                        </t>
    </r>
    <r>
      <rPr>
        <b/>
        <sz val="11"/>
        <rFont val="Arial"/>
        <family val="2"/>
      </rPr>
      <t xml:space="preserve"> </t>
    </r>
  </si>
  <si>
    <r>
      <t xml:space="preserve">Servicio Regional de Salud El Valle R-6                       </t>
    </r>
    <r>
      <rPr>
        <b/>
        <sz val="11"/>
        <rFont val="Arial"/>
        <family val="2"/>
      </rPr>
      <t xml:space="preserve"> San Juan </t>
    </r>
  </si>
  <si>
    <r>
      <t xml:space="preserve">           </t>
    </r>
    <r>
      <rPr>
        <b/>
        <sz val="11"/>
        <rFont val="Arial"/>
        <family val="2"/>
      </rPr>
      <t>Mao, Valverde</t>
    </r>
  </si>
  <si>
    <r>
      <t xml:space="preserve">Servicio Regional de Salud cibao Occidental                 </t>
    </r>
    <r>
      <rPr>
        <b/>
        <sz val="11"/>
        <rFont val="Arial"/>
        <family val="2"/>
      </rPr>
      <t>Mao, Valverde</t>
    </r>
  </si>
  <si>
    <r>
      <t xml:space="preserve">Servicio Regional de Salud Nordeste                         </t>
    </r>
    <r>
      <rPr>
        <b/>
        <sz val="11"/>
        <rFont val="Arial"/>
        <family val="2"/>
      </rPr>
      <t>San Pedro de Macoris</t>
    </r>
  </si>
  <si>
    <r>
      <t xml:space="preserve">Servicio Regional de Salud Enriquillo R-4               </t>
    </r>
    <r>
      <rPr>
        <b/>
        <sz val="11"/>
        <rFont val="Arial"/>
        <family val="2"/>
      </rPr>
      <t xml:space="preserve"> Barahona </t>
    </r>
  </si>
  <si>
    <r>
      <t xml:space="preserve">Servicio Regional de Salud Valdesia                        </t>
    </r>
    <r>
      <rPr>
        <b/>
        <sz val="11"/>
        <rFont val="Arial"/>
        <family val="2"/>
      </rPr>
      <t xml:space="preserve"> San Cristobal </t>
    </r>
  </si>
  <si>
    <r>
      <t xml:space="preserve">Servicio Regional de Salud Cibao Central                    </t>
    </r>
    <r>
      <rPr>
        <b/>
        <sz val="11"/>
        <rFont val="Arial"/>
        <family val="2"/>
      </rPr>
      <t xml:space="preserve"> La Vega </t>
    </r>
  </si>
  <si>
    <t>FM05-02446</t>
  </si>
  <si>
    <t xml:space="preserve">TABLET GALAXY A8, COLOR:SILVER </t>
  </si>
  <si>
    <t>R8YW602SHED</t>
  </si>
  <si>
    <t>R8YW602SK9W</t>
  </si>
  <si>
    <t>R8YW602SKBP</t>
  </si>
  <si>
    <t>R8YW602SJ1B</t>
  </si>
  <si>
    <t>R8YW602SHCF</t>
  </si>
  <si>
    <t>R8YW602SKDK</t>
  </si>
  <si>
    <t>R8YW512L33R</t>
  </si>
  <si>
    <t>R8YW512L1WZ</t>
  </si>
  <si>
    <t>R8YW602SJNW</t>
  </si>
  <si>
    <t>R8YW602SKJF</t>
  </si>
  <si>
    <t>R8YW602SKQL</t>
  </si>
  <si>
    <t>R8YW602SKCY</t>
  </si>
  <si>
    <t>R8YW512L2WX</t>
  </si>
  <si>
    <t>R8YW602SJHD</t>
  </si>
  <si>
    <t>R8YW602SKLD</t>
  </si>
  <si>
    <t>R8YW602SKKN</t>
  </si>
  <si>
    <t>R8YW602SH8T</t>
  </si>
  <si>
    <t>R8YW512KZDM</t>
  </si>
  <si>
    <t>R8YW512L20R</t>
  </si>
  <si>
    <t>R8YW512L0DR</t>
  </si>
  <si>
    <t>R8YW602SK4B</t>
  </si>
  <si>
    <t>R8YW602SKAX</t>
  </si>
  <si>
    <t>R8YW602SK1D</t>
  </si>
  <si>
    <t>R8YW602SKNZ</t>
  </si>
  <si>
    <t>R8YW512L2SH</t>
  </si>
  <si>
    <t>R8YW512L32B</t>
  </si>
  <si>
    <t>R8YW512KZLW</t>
  </si>
  <si>
    <t>CK.27996</t>
  </si>
  <si>
    <t>FM05-02447</t>
  </si>
  <si>
    <t>FM05-02448</t>
  </si>
  <si>
    <t>FM05-02449</t>
  </si>
  <si>
    <t>FM05-02450</t>
  </si>
  <si>
    <t>FM05-02451</t>
  </si>
  <si>
    <t>FM05-02452</t>
  </si>
  <si>
    <t>FM05-02453</t>
  </si>
  <si>
    <t>FM05-02454</t>
  </si>
  <si>
    <t>FM05-02455</t>
  </si>
  <si>
    <t>FM05-02456</t>
  </si>
  <si>
    <t>FM05-02457</t>
  </si>
  <si>
    <t>FM05-02458</t>
  </si>
  <si>
    <t>FM05-02459</t>
  </si>
  <si>
    <t>FM05-02460</t>
  </si>
  <si>
    <t>FM05-02461</t>
  </si>
  <si>
    <t>FM05-02462</t>
  </si>
  <si>
    <t>FM05-02463</t>
  </si>
  <si>
    <t>FM05-02464</t>
  </si>
  <si>
    <t>FM05-02465</t>
  </si>
  <si>
    <t>FM05-02466</t>
  </si>
  <si>
    <t>FM05-02467</t>
  </si>
  <si>
    <t>FM05-02468</t>
  </si>
  <si>
    <t>FM05-02469</t>
  </si>
  <si>
    <t>FM05-02470</t>
  </si>
  <si>
    <t>FM05-02471</t>
  </si>
  <si>
    <t>FM05-02472</t>
  </si>
  <si>
    <t>FM05-02473</t>
  </si>
  <si>
    <t>GOBDOM-02-01994</t>
  </si>
  <si>
    <t>GOBDOM-02-01995</t>
  </si>
  <si>
    <t>GOBDOM-02-01996</t>
  </si>
  <si>
    <t>GOBDOM-02-01997</t>
  </si>
  <si>
    <t>GOBDOM-02-01998</t>
  </si>
  <si>
    <t>Escritorio  Formace Modular de 28 x 48, Tope, Color: Haya-Milano, Estructura Plateada.</t>
  </si>
  <si>
    <r>
      <t xml:space="preserve">Archivo Importado ,marca Steelfile de 3 gaveta , </t>
    </r>
    <r>
      <rPr>
        <b/>
        <sz val="10"/>
        <rFont val="Arial"/>
        <family val="2"/>
      </rPr>
      <t xml:space="preserve">Color: Gris , </t>
    </r>
    <r>
      <rPr>
        <sz val="10"/>
        <rFont val="Arial"/>
        <family val="2"/>
      </rPr>
      <t xml:space="preserve">en Metal </t>
    </r>
  </si>
  <si>
    <t>Crendenza con 2 Puerta, Color:Haya-Milano, Marca:Formace</t>
  </si>
  <si>
    <t>Bebedero de Botellón Daiwa. Con Botellón Oculto. Color Negro.</t>
  </si>
  <si>
    <t>023DWWDBL605230062</t>
  </si>
  <si>
    <t>GOBDOM-02-02000</t>
  </si>
  <si>
    <t>GOBDOM-02-02001</t>
  </si>
  <si>
    <t>023DWWDBL605230049</t>
  </si>
  <si>
    <t>023DWWDBL605230063</t>
  </si>
  <si>
    <t xml:space="preserve">Pasillo de Correspondencia </t>
  </si>
  <si>
    <t>EDYJCSA SRL</t>
  </si>
  <si>
    <t>Dep. monitores Financiero</t>
  </si>
  <si>
    <t>Lib.784-1</t>
  </si>
  <si>
    <t xml:space="preserve">Código de Activos Fijos </t>
  </si>
  <si>
    <t>Transf. 42</t>
  </si>
  <si>
    <t>Laptops  Intel Core 19 , Dell XPS</t>
  </si>
  <si>
    <t xml:space="preserve">9zs49k3            </t>
  </si>
  <si>
    <t xml:space="preserve">Salud Colectiva </t>
  </si>
  <si>
    <t xml:space="preserve"> Ministerio de Salud Publica </t>
  </si>
  <si>
    <t>Offitek,SRL</t>
  </si>
  <si>
    <t>2GRGGK3</t>
  </si>
  <si>
    <t>46B44J3</t>
  </si>
  <si>
    <t>Transf. 97</t>
  </si>
  <si>
    <t>Covid-FM 101</t>
  </si>
  <si>
    <r>
      <t>CARPAS 3 X 3 ,Carpas Impresas a Cuatro Lados , C</t>
    </r>
    <r>
      <rPr>
        <b/>
        <sz val="11"/>
        <color theme="1"/>
        <rFont val="Calibri"/>
        <family val="2"/>
        <scheme val="minor"/>
      </rPr>
      <t>antidadad: 38 Unidades</t>
    </r>
  </si>
  <si>
    <t xml:space="preserve">Fiesta Caribe </t>
  </si>
  <si>
    <t>Transf. 111</t>
  </si>
  <si>
    <t xml:space="preserve">FM05-02427      </t>
  </si>
  <si>
    <t>Computadoras completa Dekscop , Monitor LG 22" Incluye Teclado y Mause</t>
  </si>
  <si>
    <t xml:space="preserve">M9PFAG00C864364     </t>
  </si>
  <si>
    <t xml:space="preserve">Departamento de Tecnologia </t>
  </si>
  <si>
    <t>Laboratorio Nacional Dr. Defillo.</t>
  </si>
  <si>
    <t>Grupo Rasec, S.R.L.</t>
  </si>
  <si>
    <t xml:space="preserve">FM05-02428  </t>
  </si>
  <si>
    <t>M9PFAG00C92436C</t>
  </si>
  <si>
    <t xml:space="preserve"> FM05-02429</t>
  </si>
  <si>
    <t xml:space="preserve">M8PFAG01615835B   </t>
  </si>
  <si>
    <t>Transf. 128</t>
  </si>
  <si>
    <t>Covid-FM-102</t>
  </si>
  <si>
    <t>Micropipetas Monocanal 100-100 ul</t>
  </si>
  <si>
    <t>Laboratorio Nacional Dr. Defillo</t>
  </si>
  <si>
    <t>CEREMO,SRL</t>
  </si>
  <si>
    <t>Covid-FM-103</t>
  </si>
  <si>
    <t>Covid-FM-104</t>
  </si>
  <si>
    <t>Covid-FM-105</t>
  </si>
  <si>
    <t>Covid-FM-106</t>
  </si>
  <si>
    <t>Covid-FM-107</t>
  </si>
  <si>
    <t>Covid-FM-108</t>
  </si>
  <si>
    <t>Covid-FM-109</t>
  </si>
  <si>
    <t>Covid-FM-110</t>
  </si>
  <si>
    <t>Covid-FM-111</t>
  </si>
  <si>
    <t>Covid-FM-112</t>
  </si>
  <si>
    <t>Micropipetas Monocanal 20-200 ul</t>
  </si>
  <si>
    <t>Covid-FM-113</t>
  </si>
  <si>
    <t>Covid-FM-114</t>
  </si>
  <si>
    <t>Covid-FM-115</t>
  </si>
  <si>
    <t>Covid-FM-116</t>
  </si>
  <si>
    <t>Covid-FM-117</t>
  </si>
  <si>
    <t>Covid-FM-118</t>
  </si>
  <si>
    <t>Covid-FM-119</t>
  </si>
  <si>
    <t>Covid-FM-120</t>
  </si>
  <si>
    <t>Covid-FM-121</t>
  </si>
  <si>
    <t>Covid-FM-122</t>
  </si>
  <si>
    <t>Micropipetas Monocanal 2-10 ul</t>
  </si>
  <si>
    <t>Covid-FM-123</t>
  </si>
  <si>
    <t>Covid-FM-124</t>
  </si>
  <si>
    <t>Covid-FM-125</t>
  </si>
  <si>
    <t>Covid-FM-126</t>
  </si>
  <si>
    <t>Covid-FM-127</t>
  </si>
  <si>
    <t>Covid-FM-128</t>
  </si>
  <si>
    <t>Covid-FM-129</t>
  </si>
  <si>
    <t>Covid-FM-130</t>
  </si>
  <si>
    <t>Covid-FM-131</t>
  </si>
  <si>
    <t>Covid-FM-132</t>
  </si>
  <si>
    <t>Micropipetas Monocanal 0.1-2 ul</t>
  </si>
  <si>
    <t>Covid-FM-133</t>
  </si>
  <si>
    <t>Covid-FM-134</t>
  </si>
  <si>
    <t>Covid-FM-135</t>
  </si>
  <si>
    <t>Covid-FM-136</t>
  </si>
  <si>
    <t>Covid-FM-137</t>
  </si>
  <si>
    <t>Covid-FM-138</t>
  </si>
  <si>
    <t>Covid-FM-139</t>
  </si>
  <si>
    <t>Covid-FM-140</t>
  </si>
  <si>
    <t>Covid-FM-141</t>
  </si>
  <si>
    <t>Covid-FM-142</t>
  </si>
  <si>
    <t>Micropipetas Multicanal (8 canales ) 0.5-5 0tl</t>
  </si>
  <si>
    <t>Covid-FM-143</t>
  </si>
  <si>
    <t>Covid-FM-144</t>
  </si>
  <si>
    <t>Covid-FM-145</t>
  </si>
  <si>
    <t>Covid-FM-146</t>
  </si>
  <si>
    <t>Covid-FM-147</t>
  </si>
  <si>
    <t>Covid-FM-148</t>
  </si>
  <si>
    <t>Covid-FM-149</t>
  </si>
  <si>
    <t>Covid-FM-150</t>
  </si>
  <si>
    <t>Covid-FM-151</t>
  </si>
  <si>
    <t>Covid-FM-152</t>
  </si>
  <si>
    <t>Micropipetas Multicanal (8 canales ) 10-100 tl</t>
  </si>
  <si>
    <t>Covid-FM-153</t>
  </si>
  <si>
    <t>Covid-FM-154</t>
  </si>
  <si>
    <t>Covid-FM-155</t>
  </si>
  <si>
    <t>Covid-FM-156</t>
  </si>
  <si>
    <t>Covid-FM-157</t>
  </si>
  <si>
    <t>Covid-FM-158</t>
  </si>
  <si>
    <t>Covid-FM-159</t>
  </si>
  <si>
    <t>Covid-FM-160</t>
  </si>
  <si>
    <t>Covid-FM-161</t>
  </si>
  <si>
    <t>Covid-FM-162</t>
  </si>
  <si>
    <t>Micropipetas Multicanal (8 canales ) 20-200 tl</t>
  </si>
  <si>
    <t>Covid-FM-163</t>
  </si>
  <si>
    <t>Covid-FM-164</t>
  </si>
  <si>
    <t>Covid-FM-165</t>
  </si>
  <si>
    <t>Covid-FM-166</t>
  </si>
  <si>
    <t>Covid-FM-167</t>
  </si>
  <si>
    <t>Covid-FM-168</t>
  </si>
  <si>
    <t>Covid-FM-169</t>
  </si>
  <si>
    <t>Covid-FM-170</t>
  </si>
  <si>
    <t>Covid-FM-171</t>
  </si>
  <si>
    <t>Covid-FM-172</t>
  </si>
  <si>
    <t>Propipetas Electricas</t>
  </si>
  <si>
    <t>Covid-FM-173</t>
  </si>
  <si>
    <t>Covid-FM-174</t>
  </si>
  <si>
    <t>Magneto P/Tubos Conico de 1.5ml</t>
  </si>
  <si>
    <t>Transf. 70</t>
  </si>
  <si>
    <t>Covid-FM-176-179</t>
  </si>
  <si>
    <r>
      <t>VITEK 2 COMPACT, BIOMERIEUX, (CAT#
4700734)</t>
    </r>
    <r>
      <rPr>
        <b/>
        <sz val="11"/>
        <color theme="1"/>
        <rFont val="Arial"/>
        <family val="2"/>
      </rPr>
      <t xml:space="preserve"> Cantidad: 4  y Pruebas Genomicas </t>
    </r>
    <r>
      <rPr>
        <sz val="11"/>
        <color theme="1"/>
        <rFont val="Arial"/>
        <family val="2"/>
      </rPr>
      <t xml:space="preserve"> (Kit TEST KIT, BIOMERIEUX, 20 CARDS/
KIT)</t>
    </r>
  </si>
  <si>
    <t>VK2C23662;   VK2C23663;    VK2C23664;   VK2C23762.</t>
  </si>
  <si>
    <t>GC LAB DOMINICANA, SRL</t>
  </si>
  <si>
    <t>Transf. 190</t>
  </si>
  <si>
    <r>
      <t xml:space="preserve">Tubo de Prueba  12 x 75 ML Fishe </t>
    </r>
    <r>
      <rPr>
        <b/>
        <sz val="11"/>
        <color theme="1"/>
        <rFont val="Calibri"/>
        <family val="2"/>
        <scheme val="minor"/>
      </rPr>
      <t>Cantidad: 3 Cajas (2000 Unidad )</t>
    </r>
  </si>
  <si>
    <t>Transf. 192</t>
  </si>
  <si>
    <t>Covid-FM 01</t>
  </si>
  <si>
    <t>Tablet Samsung Galaxy Tab A8 10.5 362G, color (Pink)</t>
  </si>
  <si>
    <t>R9YT6167KPK</t>
  </si>
  <si>
    <t xml:space="preserve">CONAVIHSIDA </t>
  </si>
  <si>
    <t xml:space="preserve">Cajufa </t>
  </si>
  <si>
    <t>Covid-FM 02</t>
  </si>
  <si>
    <t>R9YT70N0QMZ</t>
  </si>
  <si>
    <t>Covid-FM 03</t>
  </si>
  <si>
    <t>R9YT70N0RJV</t>
  </si>
  <si>
    <t>Covid-FM 04</t>
  </si>
  <si>
    <t>R9YT70N0SHB</t>
  </si>
  <si>
    <t>Covid-FM 05</t>
  </si>
  <si>
    <t>R9YT6167J8D</t>
  </si>
  <si>
    <t>Covid-FM 06</t>
  </si>
  <si>
    <t>R9YT70N0SLH</t>
  </si>
  <si>
    <t>Covid-FM 07</t>
  </si>
  <si>
    <t>R9YT70N0PRR</t>
  </si>
  <si>
    <t>Covid-FM 08</t>
  </si>
  <si>
    <t>R9YT70N0PVA</t>
  </si>
  <si>
    <t>Covid-FM 09</t>
  </si>
  <si>
    <t>R9YT70N0RQZ</t>
  </si>
  <si>
    <t>Covid-FM 10</t>
  </si>
  <si>
    <t>R9YT70N0RLP</t>
  </si>
  <si>
    <t>Covid-FM 11</t>
  </si>
  <si>
    <t>Covid-FM 12</t>
  </si>
  <si>
    <t>R9YT70N0S7L</t>
  </si>
  <si>
    <t>Covid-FM 13</t>
  </si>
  <si>
    <t>R9YT70N0RHH</t>
  </si>
  <si>
    <t>Covid-FM 14</t>
  </si>
  <si>
    <t>R9YT70N0RRD</t>
  </si>
  <si>
    <t>Covid-FM 15</t>
  </si>
  <si>
    <t>R9YT70N0RZW</t>
  </si>
  <si>
    <t>Covid-FM 16</t>
  </si>
  <si>
    <t>R9YT70N0RYR</t>
  </si>
  <si>
    <t>Covid-FM 17</t>
  </si>
  <si>
    <t>R9YT70N0S5E</t>
  </si>
  <si>
    <t>Covid-FM 18</t>
  </si>
  <si>
    <t>R9YT70N0RPL</t>
  </si>
  <si>
    <t>Covid-FM 19</t>
  </si>
  <si>
    <t>R9YT70N0QQM</t>
  </si>
  <si>
    <t>Covid-FM 20</t>
  </si>
  <si>
    <t>R9YT6167JTD</t>
  </si>
  <si>
    <t>Covid-FM 21</t>
  </si>
  <si>
    <t>R9YT6167K6V</t>
  </si>
  <si>
    <t>Covid-FM 22</t>
  </si>
  <si>
    <t>R9YT6167LJL</t>
  </si>
  <si>
    <t>Covid-FM 23</t>
  </si>
  <si>
    <t>R9YT6167KEB</t>
  </si>
  <si>
    <t>Covid-FM 24</t>
  </si>
  <si>
    <t>R9YT6167LGZ</t>
  </si>
  <si>
    <t>Covid-FM 25</t>
  </si>
  <si>
    <t>R9YT6167JKY</t>
  </si>
  <si>
    <t>Covid-FM 26</t>
  </si>
  <si>
    <t>R9YT6167K5T</t>
  </si>
  <si>
    <t>Covid-FM 27</t>
  </si>
  <si>
    <t>R9YT6167K1X</t>
  </si>
  <si>
    <t>Covid-FM 28</t>
  </si>
  <si>
    <t>R9YT6167JQH</t>
  </si>
  <si>
    <t>Covid-FM 29</t>
  </si>
  <si>
    <t>R9YT6167K8H</t>
  </si>
  <si>
    <t>Covid-FM 30</t>
  </si>
  <si>
    <t>R9YT6167KWN</t>
  </si>
  <si>
    <t>Covid-FM 31</t>
  </si>
  <si>
    <t>R9YT6167LBH</t>
  </si>
  <si>
    <t>Covid-FM 32</t>
  </si>
  <si>
    <t>R9YT6167JBB</t>
  </si>
  <si>
    <t>Covid-FM 33</t>
  </si>
  <si>
    <t>R9YT6167L6Y</t>
  </si>
  <si>
    <t>Covid-FM 34</t>
  </si>
  <si>
    <t>R9YT6167L8T</t>
  </si>
  <si>
    <t>Covid-FM 35</t>
  </si>
  <si>
    <t>R9YT6167KJR</t>
  </si>
  <si>
    <t>Covid-FM 36</t>
  </si>
  <si>
    <t>R9YT6167KXD</t>
  </si>
  <si>
    <t>Covid-FM 37</t>
  </si>
  <si>
    <t>R9YT6167KNY</t>
  </si>
  <si>
    <t>Covid-FM 38</t>
  </si>
  <si>
    <t>R9YT6167JEJ</t>
  </si>
  <si>
    <t>Covid-FM 39</t>
  </si>
  <si>
    <t>R9YT70N0RME</t>
  </si>
  <si>
    <t>Covid-FM 40</t>
  </si>
  <si>
    <t>R9YT70N0S8Z</t>
  </si>
  <si>
    <t>Covid-FM 41</t>
  </si>
  <si>
    <t>R9YT70N0S1H</t>
  </si>
  <si>
    <t>Covid-FM 42</t>
  </si>
  <si>
    <t>R9YT70N0PSW</t>
  </si>
  <si>
    <t>Covid-FM 43</t>
  </si>
  <si>
    <t>R9YT70N0QND</t>
  </si>
  <si>
    <t>Covid-FM 44</t>
  </si>
  <si>
    <t>R9YT70N0QGK</t>
  </si>
  <si>
    <t>Covid-FM 45</t>
  </si>
  <si>
    <t>R9YT70N0SCT</t>
  </si>
  <si>
    <t>Covid-FM 46</t>
  </si>
  <si>
    <t>R9YT70N0RXX</t>
  </si>
  <si>
    <t>Covid-FM 47</t>
  </si>
  <si>
    <t>R9YT70N0SBM</t>
  </si>
  <si>
    <t>Covid-FM 48</t>
  </si>
  <si>
    <t>R9YT70N0SAF</t>
  </si>
  <si>
    <t>Covid-FM 49</t>
  </si>
  <si>
    <t>Covid-FM 50</t>
  </si>
  <si>
    <t>Covid-FM 51</t>
  </si>
  <si>
    <t>Tablet Samsung Galaxy Tab A8 10.5 362G, color (Silver)</t>
  </si>
  <si>
    <t>Covid-FM 52</t>
  </si>
  <si>
    <t>Covid-FM 53</t>
  </si>
  <si>
    <t>Covid-FM 54</t>
  </si>
  <si>
    <t>Covid-FM 55</t>
  </si>
  <si>
    <t>Covid-FM 56</t>
  </si>
  <si>
    <t>Covid-FM 57</t>
  </si>
  <si>
    <t>Covid-FM 58</t>
  </si>
  <si>
    <t>Covid-FM 59</t>
  </si>
  <si>
    <t>Covid-FM 60</t>
  </si>
  <si>
    <t>Covid-FM 61</t>
  </si>
  <si>
    <t>Covid-FM 62</t>
  </si>
  <si>
    <t>Covid-FM 63</t>
  </si>
  <si>
    <t>Covid-FM 64</t>
  </si>
  <si>
    <t>Covid-FM 65</t>
  </si>
  <si>
    <t>Covid-FM 66</t>
  </si>
  <si>
    <t>Covid-FM 67</t>
  </si>
  <si>
    <t>Covid-FM 68</t>
  </si>
  <si>
    <t>Covid-FM 69</t>
  </si>
  <si>
    <t>Covid-FM 70</t>
  </si>
  <si>
    <t>Covid-FM 71</t>
  </si>
  <si>
    <t>Covid-FM 72</t>
  </si>
  <si>
    <t>Covid-FM 73</t>
  </si>
  <si>
    <t>Covid-FM 74</t>
  </si>
  <si>
    <t>Covid-FM 75</t>
  </si>
  <si>
    <t>Covid-FM 76</t>
  </si>
  <si>
    <t>Covid-FM 77</t>
  </si>
  <si>
    <t>Covid-FM 78</t>
  </si>
  <si>
    <t>Covid-FM 79</t>
  </si>
  <si>
    <t>Covid-FM 80</t>
  </si>
  <si>
    <t>Covid-FM 81</t>
  </si>
  <si>
    <t>Covid-FM 82</t>
  </si>
  <si>
    <t>Covid-FM 83</t>
  </si>
  <si>
    <t>Covid-FM 84</t>
  </si>
  <si>
    <t>Covid-FM 85</t>
  </si>
  <si>
    <t>Covid-FM 86</t>
  </si>
  <si>
    <t>Covid-FM 87</t>
  </si>
  <si>
    <t>Covid-FM 88</t>
  </si>
  <si>
    <t>Covid-FM 89</t>
  </si>
  <si>
    <t>Covid-FM 90</t>
  </si>
  <si>
    <t>Covid-FM 91</t>
  </si>
  <si>
    <t>Covid-FM 92</t>
  </si>
  <si>
    <t>Covid-FM 93</t>
  </si>
  <si>
    <t>Covid-FM 94</t>
  </si>
  <si>
    <t>Covid-FM 95</t>
  </si>
  <si>
    <t>Covid-FM 96</t>
  </si>
  <si>
    <t>Covid-FM 97</t>
  </si>
  <si>
    <t>Covid-FM 98</t>
  </si>
  <si>
    <t>Covid-FM 99</t>
  </si>
  <si>
    <t>Covid-FM 100</t>
  </si>
  <si>
    <t>Transf. 119</t>
  </si>
  <si>
    <t>FREEZER PEQUEÑO  DE  UNA PUERTAS PARA LABORATORIO, MARCA: THEMO SCIENTIFIC</t>
  </si>
  <si>
    <t>PAN AMEICAN SANITARY BUREAU</t>
  </si>
  <si>
    <r>
      <t xml:space="preserve">FREEZER PEQUEÑO  DE  UNA PUERTAS PARA LABORATORIO, </t>
    </r>
    <r>
      <rPr>
        <b/>
        <sz val="11"/>
        <rFont val="Calibri"/>
        <family val="2"/>
        <scheme val="minor"/>
      </rPr>
      <t>MARCA: THEMO SCIENTIFIC</t>
    </r>
  </si>
  <si>
    <t>FM05-02411</t>
  </si>
  <si>
    <r>
      <t xml:space="preserve">FREEZER VERTICAL DE TRES PUERTAS PARA LABORATORIO, </t>
    </r>
    <r>
      <rPr>
        <b/>
        <sz val="11"/>
        <rFont val="Calibri"/>
        <family val="2"/>
        <scheme val="minor"/>
      </rPr>
      <t>MARCA: THEMO SCIENTIFIC</t>
    </r>
  </si>
  <si>
    <t>FM05-02412</t>
  </si>
  <si>
    <t>FM05-02413</t>
  </si>
  <si>
    <t xml:space="preserve">FREEZER THERMO SCIENTIFIC </t>
  </si>
  <si>
    <t>FM05-02414</t>
  </si>
  <si>
    <t>FM05-02422</t>
  </si>
  <si>
    <t>FREEZER FISHERBRAND PARA LABORATORIO</t>
  </si>
  <si>
    <t>FM05-02417</t>
  </si>
  <si>
    <t>FM05-02420</t>
  </si>
  <si>
    <t>Transf. 198</t>
  </si>
  <si>
    <t>Balanza Analitica ,Para Laboratorio Sartorius, Voltaje 100-240V</t>
  </si>
  <si>
    <t>Mini CentrifugasFisherbrand para 6 tubos, Voltaje 100-240V</t>
  </si>
  <si>
    <t>Covid-FM-185</t>
  </si>
  <si>
    <t>Covid-FM-186</t>
  </si>
  <si>
    <t>Covid-FM-187</t>
  </si>
  <si>
    <t>Covid-FM-188</t>
  </si>
  <si>
    <t>Mezclador Vortex Estándar /Voltaje 100-240V</t>
  </si>
  <si>
    <t>Covid-FM-189</t>
  </si>
  <si>
    <t>Covid-FM-190</t>
  </si>
  <si>
    <t>Covid-FM-191</t>
  </si>
  <si>
    <t>Covid-FM-192</t>
  </si>
  <si>
    <t>Medidor de PH Fisherbrand, Modelo: de sobremesa/Voltaje 100-240V</t>
  </si>
  <si>
    <t>Covid-FM-193</t>
  </si>
  <si>
    <t>Covid-FM-194</t>
  </si>
  <si>
    <t>Covid-FM-195</t>
  </si>
  <si>
    <t>Transf. 197</t>
  </si>
  <si>
    <t>Covid-FM-196</t>
  </si>
  <si>
    <t>Gabinete de 6 Pies , Cantidad: 5</t>
  </si>
  <si>
    <t>Covid-FM-197</t>
  </si>
  <si>
    <t>Gabinete de 4 Pies , Cantidad: 5</t>
  </si>
  <si>
    <t>Transf. 258</t>
  </si>
  <si>
    <t>Covid-FM-175  - Covid-FM-474</t>
  </si>
  <si>
    <r>
      <t xml:space="preserve">Neverita con Termometro Integrado .                              (Para Muestras Biologicas) </t>
    </r>
    <r>
      <rPr>
        <b/>
        <sz val="11"/>
        <color theme="1"/>
        <rFont val="Calibri"/>
        <family val="2"/>
        <scheme val="minor"/>
      </rPr>
      <t xml:space="preserve">Cantidad: 300 Unidades </t>
    </r>
  </si>
  <si>
    <t>Transf. 289</t>
  </si>
  <si>
    <t>MAC4K DR100 Equipo de Rayos X Con  Sus Accesorios AGFA, modelo DR100S, versión software NX 3.0</t>
  </si>
  <si>
    <t xml:space="preserve">NO.10342  </t>
  </si>
  <si>
    <t>Unique Representaciones S.R.L.</t>
  </si>
  <si>
    <t>Transf. 308</t>
  </si>
  <si>
    <t>Pipetas Plasticas Desechables Graduadas de 5 ML</t>
  </si>
  <si>
    <t xml:space="preserve">CEREMO </t>
  </si>
  <si>
    <t>Transf. 120</t>
  </si>
  <si>
    <r>
      <t xml:space="preserve">Auto Clave de Sobremesa Completo (Esterizador a Vapor) </t>
    </r>
    <r>
      <rPr>
        <b/>
        <sz val="11"/>
        <color theme="1"/>
        <rFont val="Calibri"/>
        <family val="2"/>
        <scheme val="minor"/>
      </rPr>
      <t xml:space="preserve">Cantidad:3 </t>
    </r>
  </si>
  <si>
    <t>CAT LS200820</t>
  </si>
  <si>
    <r>
      <t xml:space="preserve">Incubadora IMH180-5 55 Termo Cientifico Heratherm. </t>
    </r>
    <r>
      <rPr>
        <b/>
        <sz val="11"/>
        <color theme="1"/>
        <rFont val="Calibri"/>
        <family val="2"/>
        <scheme val="minor"/>
      </rPr>
      <t>Cantidad 3</t>
    </r>
    <r>
      <rPr>
        <sz val="11"/>
        <color theme="1"/>
        <rFont val="Calibri"/>
        <family val="2"/>
        <scheme val="minor"/>
      </rPr>
      <t xml:space="preserve"> ( Exterior de Acero Inoxidable)</t>
    </r>
  </si>
  <si>
    <t>CATH 51020543</t>
  </si>
  <si>
    <r>
      <t xml:space="preserve">Incubadora  MH400 Heratem Termosicentifico </t>
    </r>
    <r>
      <rPr>
        <b/>
        <sz val="11"/>
        <color theme="1"/>
        <rFont val="Calibri"/>
        <family val="2"/>
        <scheme val="minor"/>
      </rPr>
      <t>Cantidad:3</t>
    </r>
  </si>
  <si>
    <t>CATE  51-029-323H</t>
  </si>
  <si>
    <r>
      <t xml:space="preserve">Horno de Calentamiento y Secado de uso General Isotemp de Fisherbrano. 250 C Voltaje 120V, </t>
    </r>
    <r>
      <rPr>
        <b/>
        <sz val="11"/>
        <color theme="1"/>
        <rFont val="Calibri"/>
        <family val="2"/>
        <scheme val="minor"/>
      </rPr>
      <t>Cantidad:2</t>
    </r>
  </si>
  <si>
    <t>CAT 151030512</t>
  </si>
  <si>
    <r>
      <rPr>
        <b/>
        <sz val="10"/>
        <color indexed="10"/>
        <rFont val="Arial"/>
        <family val="2"/>
      </rPr>
      <t xml:space="preserve">        Nota_4:</t>
    </r>
    <r>
      <rPr>
        <b/>
        <sz val="10"/>
        <color indexed="18"/>
        <rFont val="Arial"/>
        <family val="2"/>
      </rPr>
      <t xml:space="preserve"> En Nuestro levantamiento realizado en Octubre del año 2023 </t>
    </r>
  </si>
  <si>
    <t>de adquisiciones de 103,744.26 pesos y en estatus  no encontrado por deterioro 83,722.90</t>
  </si>
  <si>
    <t>_____________________________________________________</t>
  </si>
  <si>
    <t>____________________________________________________________________________________________________________________________________________________________________________________________________________</t>
  </si>
  <si>
    <t>___________________________________________________________________________________________________________________________________________________________________________________________________________</t>
  </si>
  <si>
    <r>
      <rPr>
        <b/>
        <sz val="12"/>
        <color indexed="10"/>
        <rFont val="Arial"/>
        <family val="2"/>
      </rPr>
      <t xml:space="preserve">       Nota_2:</t>
    </r>
    <r>
      <rPr>
        <b/>
        <sz val="12"/>
        <color indexed="18"/>
        <rFont val="Arial"/>
        <family val="2"/>
      </rPr>
      <t xml:space="preserve"> </t>
    </r>
    <r>
      <rPr>
        <b/>
        <sz val="12"/>
        <color indexed="56"/>
        <rFont val="Arial"/>
        <family val="2"/>
      </rPr>
      <t xml:space="preserve">Algunos de los bienes fueron descargado por deterioro a  la </t>
    </r>
  </si>
  <si>
    <r>
      <t xml:space="preserve">Nota_3: </t>
    </r>
    <r>
      <rPr>
        <b/>
        <sz val="12"/>
        <color indexed="56"/>
        <rFont val="Arial"/>
        <family val="2"/>
      </rPr>
      <t xml:space="preserve">Dentro de este listado se encuentran activos que en nuetro levantamiento en el 2021 no fueron identificados </t>
    </r>
  </si>
  <si>
    <t>Lic.Yoel Mieses</t>
  </si>
  <si>
    <t xml:space="preserve">Tecnico de Control Interno </t>
  </si>
  <si>
    <t>______________</t>
  </si>
  <si>
    <t>__________________________________________________________</t>
  </si>
  <si>
    <t>___________________________________________</t>
  </si>
  <si>
    <t xml:space="preserve">Encontramos 10 activos en estatus dañado que suman un valor en costo  </t>
  </si>
  <si>
    <t>(Monto Anterior 3,851,060.37) , Esos valores seran restados al monto total de adquidiciones .</t>
  </si>
  <si>
    <t xml:space="preserve">Lic. Samuel Hernandez </t>
  </si>
  <si>
    <t xml:space="preserve">Ecargado de Seccion de Bienes </t>
  </si>
  <si>
    <t xml:space="preserve">Wanda Yanet Mediina Garcia </t>
  </si>
  <si>
    <t xml:space="preserve">Tecnico en Control de Bienes </t>
  </si>
  <si>
    <t>Total año 2024</t>
  </si>
  <si>
    <t>GOBDOM-02-02002</t>
  </si>
  <si>
    <t>GOBDOM-02-02003</t>
  </si>
  <si>
    <t>GOBDOM-02-02004</t>
  </si>
  <si>
    <t>GOBDOM-02-02005</t>
  </si>
  <si>
    <t>GOBDOM-02-02006</t>
  </si>
  <si>
    <t>GOBDOM-02-02007</t>
  </si>
  <si>
    <t>GOBDOM-02-02008</t>
  </si>
  <si>
    <t>GOBDOM-02-02009</t>
  </si>
  <si>
    <t>GOBDOM-02-02010</t>
  </si>
  <si>
    <t>GOBDOM-02-02011</t>
  </si>
  <si>
    <t>GOBDOM-02-02012</t>
  </si>
  <si>
    <t>Lib.314-1</t>
  </si>
  <si>
    <t>Lib.1735-1</t>
  </si>
  <si>
    <t xml:space="preserve">Tope o Superficie de Trabajo  Formcase , Color:Milano </t>
  </si>
  <si>
    <t xml:space="preserve">Panel Silver Laminado TN 1014 MMM, de 1.00 de ancho 1.45 de alto , terminacion de bordes   Socalo en Aluminio , panel de Color Plateado </t>
  </si>
  <si>
    <t xml:space="preserve">Conector Flexible para Unir Paneles, Cantidad:2 </t>
  </si>
  <si>
    <t>Conector Multiple , Funsiona como P2, P3 y P4, Cantidad:3</t>
  </si>
  <si>
    <t>Palometa TN 7014 MMM,Terminacion de Bordes y Socalo en Aluminio, Panel de color:Plateado,Cantidad:6</t>
  </si>
  <si>
    <t xml:space="preserve">Gabinete Aereo Formcase de 0.38 de prof X 1.00 =a 15 x 39 Largo , con Puerta Tipo  Tambor y solo se puede usar en paneles Formcase , Color Milano o Metalic Silver </t>
  </si>
  <si>
    <t xml:space="preserve">Archivo Metalico Modular de 3 gavetas, Con ruedas, con su llave </t>
  </si>
  <si>
    <t>GOBDOM-02-02013</t>
  </si>
  <si>
    <t>Panel Silver Laminado 7014 MMM, de 0.70 de ancho 1.45 de alto , terminacion de bordes   Socalo en Aluminio , panel de Color Plateado.</t>
  </si>
  <si>
    <t xml:space="preserve">Departamento Administrativo / Samuel Hernandez </t>
  </si>
  <si>
    <t xml:space="preserve">Departamento Administrativo /Felipe Morban </t>
  </si>
  <si>
    <t xml:space="preserve">Departamento Administrativo / Mercesdes Mendez </t>
  </si>
  <si>
    <t>Departamento Administrativo /Yisel Franco</t>
  </si>
  <si>
    <t>Departamento Administrativo / Kelvin Feliz</t>
  </si>
  <si>
    <t xml:space="preserve">Silla de Visita Eddie , en Piel Genuina , Color:Negro </t>
  </si>
  <si>
    <t>GOBDOM-02-01900</t>
  </si>
  <si>
    <t>GOBDOM-02-01901</t>
  </si>
  <si>
    <t>GOBDOM-02-01902</t>
  </si>
  <si>
    <t>GOBDOM-02-01903</t>
  </si>
  <si>
    <t>GOBDOM-02-01904</t>
  </si>
  <si>
    <t>GOBDOM-02-01905</t>
  </si>
  <si>
    <t>GOBDOM-02-01906</t>
  </si>
  <si>
    <t>GOBDOM-02-01907</t>
  </si>
  <si>
    <t>GOBDOM-02-01908</t>
  </si>
  <si>
    <t>Archivo Metalico Modular de 3 gavetas, Con ruedas, con su llave, Color:Plateado</t>
  </si>
  <si>
    <t xml:space="preserve">Departamento Adquisiciones /Damare  Mesa </t>
  </si>
  <si>
    <t>Departamento Adquisiciones /Kisairy</t>
  </si>
  <si>
    <t>Departamento Adquisiciones /Virginia</t>
  </si>
  <si>
    <t>Departamento Adquisiciones /Damary</t>
  </si>
  <si>
    <t>Carolina Alsequier Enc. De Conserjeria</t>
  </si>
  <si>
    <t xml:space="preserve">Departamento Administrativo /Tatis </t>
  </si>
  <si>
    <t>Transf.395</t>
  </si>
  <si>
    <t>Sillones Ejecutivos Ergonomicos ,Espaldar Alto ,Reclinable, en Tela Color Negro .</t>
  </si>
  <si>
    <t>Importadores y suplidores VPS</t>
  </si>
  <si>
    <t xml:space="preserve">Salon De Conferencia </t>
  </si>
  <si>
    <t>Transf.489</t>
  </si>
  <si>
    <t xml:space="preserve">Sillon State Gris/Aluminio </t>
  </si>
  <si>
    <t xml:space="preserve">Butaca Sight Gris /Aluminio </t>
  </si>
  <si>
    <t xml:space="preserve">Escritorio Apex 1.60M Bison/Gris </t>
  </si>
  <si>
    <t xml:space="preserve">Adaptacion Apex 1.00M Bison /Gris </t>
  </si>
  <si>
    <t>Credenza Impact  1.20M Gri/Blanco</t>
  </si>
  <si>
    <t xml:space="preserve">Butaca Pop Gris/Gris </t>
  </si>
  <si>
    <t xml:space="preserve">Mesa Nest 1.20M Blanco/Blanco </t>
  </si>
  <si>
    <t xml:space="preserve">Credenza Apex  1.60M Bison/ Gris </t>
  </si>
  <si>
    <t>Transf.488</t>
  </si>
  <si>
    <r>
      <t xml:space="preserve">Servidor Dell Poweredge R750 / </t>
    </r>
    <r>
      <rPr>
        <b/>
        <sz val="11"/>
        <color theme="1"/>
        <rFont val="Calibri"/>
        <family val="2"/>
        <scheme val="minor"/>
      </rPr>
      <t>Cantidad:2</t>
    </r>
  </si>
  <si>
    <t>Transf.493</t>
  </si>
  <si>
    <r>
      <t xml:space="preserve">Cortina de Zebra  37 x 77, </t>
    </r>
    <r>
      <rPr>
        <b/>
        <sz val="11"/>
        <color theme="1"/>
        <rFont val="Calibri"/>
        <family val="2"/>
        <scheme val="minor"/>
      </rPr>
      <t xml:space="preserve">Cantidad: 2 </t>
    </r>
  </si>
  <si>
    <t>Transf.494</t>
  </si>
  <si>
    <t>Cortina de Zebra  37.50 x 77</t>
  </si>
  <si>
    <t>Importadora Dominicana Ninjago</t>
  </si>
  <si>
    <t>Cortina de Zebra  70 x 77</t>
  </si>
  <si>
    <t>Cortina de Zebra  39 x 76</t>
  </si>
  <si>
    <t>Cortina de Zebra  39.50 x 76</t>
  </si>
  <si>
    <t>Cortina de Zebra  38.50 x 76</t>
  </si>
  <si>
    <t xml:space="preserve">Servidor Fisico , Formato Rack </t>
  </si>
  <si>
    <t>Cecomsa, S.R.L.</t>
  </si>
  <si>
    <t>Transf.490</t>
  </si>
  <si>
    <t>Laminado Comercial 33 x 21 Cantidad:14</t>
  </si>
  <si>
    <t>Transf.492</t>
  </si>
  <si>
    <t>D8N233202149</t>
  </si>
  <si>
    <t>CLICKTECK</t>
  </si>
  <si>
    <t xml:space="preserve">Dept de Compras </t>
  </si>
  <si>
    <t xml:space="preserve">Controles Interno </t>
  </si>
  <si>
    <t>Departamento Adquisiciones</t>
  </si>
  <si>
    <t>Departamento Administrativo</t>
  </si>
  <si>
    <t>COMPUTADORA DELL OPTIPLEX SFF 7010</t>
  </si>
  <si>
    <t>LAPTOP</t>
  </si>
  <si>
    <t>CECOMSA.S.R.L</t>
  </si>
  <si>
    <t>LAPTOP IPAD (Macbook) Pro ,Color:Silver Tipo A "16"</t>
  </si>
  <si>
    <t>Transf.499</t>
  </si>
  <si>
    <t>Pantalla Interactiva Pro de 85 Samsumg</t>
  </si>
  <si>
    <t>Amplificador completo  Comercial  70 V/100, JBL</t>
  </si>
  <si>
    <t>Amplificador de Potencia Monocanal de 120 W Serie Comercial, JBL</t>
  </si>
  <si>
    <r>
      <t xml:space="preserve">Sistema de Multiples Microfonos  </t>
    </r>
    <r>
      <rPr>
        <b/>
        <sz val="11"/>
        <color theme="1"/>
        <rFont val="Calibri"/>
        <family val="2"/>
        <scheme val="minor"/>
      </rPr>
      <t>(paquete de mezclador  de 12 Microfonos para sala de Juntas )</t>
    </r>
  </si>
  <si>
    <t xml:space="preserve">Materiales de Intalacion, Programacion ,Calibracion y Ajustes de Sistema </t>
  </si>
  <si>
    <t>IQTek Solutions S.R.L.</t>
  </si>
  <si>
    <t>Lib.172-1</t>
  </si>
  <si>
    <t>GOBDOM-02-02014</t>
  </si>
  <si>
    <t>X8Q2073968</t>
  </si>
  <si>
    <t>UXMAL COMERCIAL,SRL</t>
  </si>
  <si>
    <t xml:space="preserve">Servicios Profecionales </t>
  </si>
  <si>
    <t>Transf.480</t>
  </si>
  <si>
    <t xml:space="preserve"> COMPUTADORAS DESKTOP DELL OPTIPLEX CON 2 MONITORES Y   UPS </t>
  </si>
  <si>
    <t>Monitor:CYJ7PZ3</t>
  </si>
  <si>
    <t>Monitor:6YJ7PZ3</t>
  </si>
  <si>
    <t>Monitor:BYJ7PZ3</t>
  </si>
  <si>
    <t>Monitor:8YJ7PZ3</t>
  </si>
  <si>
    <t>Monitor:9YJ7PZ3</t>
  </si>
  <si>
    <t>Monitor:7YJ7PZ3</t>
  </si>
  <si>
    <t>Monitor:DYJ7PZ3</t>
  </si>
  <si>
    <t xml:space="preserve">Vilma Peralta </t>
  </si>
  <si>
    <t>JOSE THEN</t>
  </si>
  <si>
    <t xml:space="preserve">RAFAEL SANTANA </t>
  </si>
  <si>
    <t xml:space="preserve">LEONARDO SANCHEZ </t>
  </si>
  <si>
    <t xml:space="preserve">PEDRO MERCEDES </t>
  </si>
  <si>
    <t>ASOCIACION DOMINICANA DE PLANIFICAION FAMILIAR (ADOPLAFAM)</t>
  </si>
  <si>
    <t>MOVIMIENTO DE MUJERES UNIDAS (MODEMU)</t>
  </si>
  <si>
    <t>CENTRO DE ORIRNTACION E INVESTIGACION PERSONAL (COIN)</t>
  </si>
  <si>
    <t>GRUPO DE AUTO AYUDA AMIGOS SIEMPPRE AMIGOS (ASA)</t>
  </si>
  <si>
    <t>EL INSTITUTO NACIONAL DE LA SALUD (INSALUD)</t>
  </si>
  <si>
    <t>CK.28077</t>
  </si>
  <si>
    <t>1RCZG04</t>
  </si>
  <si>
    <t>8N8ZG04</t>
  </si>
  <si>
    <t>BRCZG04</t>
  </si>
  <si>
    <t>2N8ZG04</t>
  </si>
  <si>
    <t>CPCZG04</t>
  </si>
  <si>
    <t>CQCZG04</t>
  </si>
  <si>
    <t>6RZZG04</t>
  </si>
  <si>
    <t>9PCZG04</t>
  </si>
  <si>
    <t>GPCZG04</t>
  </si>
  <si>
    <t>3RCZG04</t>
  </si>
  <si>
    <t>6QCZG04</t>
  </si>
  <si>
    <t>DPCZG04</t>
  </si>
  <si>
    <t>BPCZG04</t>
  </si>
  <si>
    <t>JPCZG04</t>
  </si>
  <si>
    <t>1N8ZG04</t>
  </si>
  <si>
    <t>6N8ZG04</t>
  </si>
  <si>
    <t>9RCZG04</t>
  </si>
  <si>
    <t>3N8ZG04</t>
  </si>
  <si>
    <t>BQCZG04</t>
  </si>
  <si>
    <t>GRCZG04</t>
  </si>
  <si>
    <t>2SCZG04</t>
  </si>
  <si>
    <t>4SCZG04</t>
  </si>
  <si>
    <t>7QCZG04</t>
  </si>
  <si>
    <t>7N8ZG04</t>
  </si>
  <si>
    <t>7PCZG04</t>
  </si>
  <si>
    <t>CRCZG04</t>
  </si>
  <si>
    <t>8PCZG04</t>
  </si>
  <si>
    <t>1SCZG04</t>
  </si>
  <si>
    <t>8SCZG04</t>
  </si>
  <si>
    <t>DQCZG04</t>
  </si>
  <si>
    <t>4QCZG04</t>
  </si>
  <si>
    <t>DRCZG04</t>
  </si>
  <si>
    <t>2RCZG04</t>
  </si>
  <si>
    <t>7SCZG04</t>
  </si>
  <si>
    <t>6SCZG04</t>
  </si>
  <si>
    <t>4N8ZG04</t>
  </si>
  <si>
    <t>GQCZG04</t>
  </si>
  <si>
    <t>9QCZG04</t>
  </si>
  <si>
    <t>8RCZG04</t>
  </si>
  <si>
    <t>JRCZG04</t>
  </si>
  <si>
    <t>FRCZG04</t>
  </si>
  <si>
    <t>2QCZG04</t>
  </si>
  <si>
    <t>9N8ZG04</t>
  </si>
  <si>
    <t>BN8ZG04</t>
  </si>
  <si>
    <t>8QCZG04</t>
  </si>
  <si>
    <t>3SCZG04</t>
  </si>
  <si>
    <t>4RCZG04</t>
  </si>
  <si>
    <t>5RCZG04</t>
  </si>
  <si>
    <t>5N8ZG04</t>
  </si>
  <si>
    <t>5QCZG04</t>
  </si>
  <si>
    <t>HRCZG04</t>
  </si>
  <si>
    <t>5SCZG04</t>
  </si>
  <si>
    <t>FPCZG04</t>
  </si>
  <si>
    <t>HQCZG04</t>
  </si>
  <si>
    <t>H9CZG04</t>
  </si>
  <si>
    <t>FQCZG04</t>
  </si>
  <si>
    <t>JQCZG04</t>
  </si>
  <si>
    <t>CYQ0H04</t>
  </si>
  <si>
    <t>FM05-02474</t>
  </si>
  <si>
    <t>FM05-02475</t>
  </si>
  <si>
    <t>FM05-02476</t>
  </si>
  <si>
    <t>FM05-02477</t>
  </si>
  <si>
    <t>FM05-02478</t>
  </si>
  <si>
    <t>FM05-02479</t>
  </si>
  <si>
    <t>FM05-02480</t>
  </si>
  <si>
    <t>FM05-02481</t>
  </si>
  <si>
    <t>FM05-02482</t>
  </si>
  <si>
    <t>FM05-02483</t>
  </si>
  <si>
    <t>FM05-02484</t>
  </si>
  <si>
    <t>FM05-02485</t>
  </si>
  <si>
    <t>FM05-02486</t>
  </si>
  <si>
    <t>FM05-02487</t>
  </si>
  <si>
    <t>FM05-02488</t>
  </si>
  <si>
    <t>FM05-02489</t>
  </si>
  <si>
    <t>FM05-02490</t>
  </si>
  <si>
    <t>FM05-02491</t>
  </si>
  <si>
    <t>FM05-02492</t>
  </si>
  <si>
    <t>FM05-02493</t>
  </si>
  <si>
    <t>FM05-02494</t>
  </si>
  <si>
    <t>FM05-02495</t>
  </si>
  <si>
    <t>FM05-02496</t>
  </si>
  <si>
    <t>FM05-02497</t>
  </si>
  <si>
    <t>FM05-02498</t>
  </si>
  <si>
    <t>FM05-02499</t>
  </si>
  <si>
    <t>FM05-02500</t>
  </si>
  <si>
    <t>FM05-02501</t>
  </si>
  <si>
    <t>FM05-02502</t>
  </si>
  <si>
    <t>FM05-02503</t>
  </si>
  <si>
    <t>FM05-02504</t>
  </si>
  <si>
    <t>FM05-02505</t>
  </si>
  <si>
    <t>FM05-02506</t>
  </si>
  <si>
    <t>FM05-02507</t>
  </si>
  <si>
    <t>FM05-02508</t>
  </si>
  <si>
    <t>FM05-02509</t>
  </si>
  <si>
    <t>FM05-02510</t>
  </si>
  <si>
    <t>FM05-02511</t>
  </si>
  <si>
    <t>FM05-02512</t>
  </si>
  <si>
    <t>FM05-02513</t>
  </si>
  <si>
    <t>FM05-02514</t>
  </si>
  <si>
    <t>FM05-02515</t>
  </si>
  <si>
    <t>FM05-02516</t>
  </si>
  <si>
    <t>FM05-02517</t>
  </si>
  <si>
    <t>FM05-02518</t>
  </si>
  <si>
    <t>FM05-02519</t>
  </si>
  <si>
    <t>FM05-02520</t>
  </si>
  <si>
    <t>FM05-02521</t>
  </si>
  <si>
    <t>FM05-02522</t>
  </si>
  <si>
    <t>FM05-02523</t>
  </si>
  <si>
    <t>FM05-02524</t>
  </si>
  <si>
    <t>FM05-02525</t>
  </si>
  <si>
    <t>FM05-02526</t>
  </si>
  <si>
    <t>FM05-02527</t>
  </si>
  <si>
    <t>FM05-02528</t>
  </si>
  <si>
    <t>FM05-02529</t>
  </si>
  <si>
    <t>FM05-02530</t>
  </si>
  <si>
    <t>FM05-02531</t>
  </si>
  <si>
    <t>FM05-02532</t>
  </si>
  <si>
    <t>FM05-02533</t>
  </si>
  <si>
    <t>FM05-02534</t>
  </si>
  <si>
    <t xml:space="preserve">Leonardo Sanchez </t>
  </si>
  <si>
    <t xml:space="preserve">Maria de jesus /ibelise Medina De Olmos </t>
  </si>
  <si>
    <t xml:space="preserve">Fund. AID For Aids Dminicana </t>
  </si>
  <si>
    <t xml:space="preserve">Jacqueline Montero / Ana Maria de la Rosa </t>
  </si>
  <si>
    <t xml:space="preserve">Bayardo Gomez/Alexander Gomez </t>
  </si>
  <si>
    <t>CENTRO DE PROMOCION Y SOLIDARIDAD HUMANA/CEPROSCH</t>
  </si>
  <si>
    <t>Fund. AID For Aids Dminicana /AFA</t>
  </si>
  <si>
    <t>R8YW602L19F</t>
  </si>
  <si>
    <t>GPG5FH3</t>
  </si>
  <si>
    <t>FQG5FH3</t>
  </si>
  <si>
    <t>FZHTQV3</t>
  </si>
  <si>
    <t>HLRJTV3</t>
  </si>
  <si>
    <t>16LJTV3</t>
  </si>
  <si>
    <t>DTIC(EN ESPERA DE TRASLADO PARA SNS VIA SANTIAGO DE AZA)</t>
  </si>
  <si>
    <t>Gerencia Técnica (Robert Nina)</t>
  </si>
  <si>
    <t>Dept. Financiero/Ingrid Melo</t>
  </si>
  <si>
    <t xml:space="preserve">Gerencia Tecnica/Yubelkis           </t>
  </si>
  <si>
    <t xml:space="preserve">Gerencia Tecnica/Robet Nina           </t>
  </si>
  <si>
    <t>FMG5FH3</t>
  </si>
  <si>
    <t>CC1H143813</t>
  </si>
  <si>
    <t>BPG5FH3</t>
  </si>
  <si>
    <t xml:space="preserve">Gerencia Tecnica/ Santiago de Aza           </t>
  </si>
  <si>
    <t xml:space="preserve">DTIC/ Vilma Peralta          </t>
  </si>
  <si>
    <t xml:space="preserve">Gerencia Tecnica/Robert Nina          </t>
  </si>
  <si>
    <t>FM05-02555</t>
  </si>
  <si>
    <t>FM05-02556</t>
  </si>
  <si>
    <t>FM05-02557</t>
  </si>
  <si>
    <t>FM05-02558</t>
  </si>
  <si>
    <t>FM05-02559</t>
  </si>
  <si>
    <t>FM05-02560</t>
  </si>
  <si>
    <t>FM05-02561</t>
  </si>
  <si>
    <t>FM05-02562</t>
  </si>
  <si>
    <t>FM05-02563</t>
  </si>
  <si>
    <t>FM05-02564</t>
  </si>
  <si>
    <t>FM05-02565</t>
  </si>
  <si>
    <t>FM05-02566</t>
  </si>
  <si>
    <t>FM05-02567</t>
  </si>
  <si>
    <t>FM05-02568</t>
  </si>
  <si>
    <t>FM05-02569</t>
  </si>
  <si>
    <t>FM05-02570</t>
  </si>
  <si>
    <t>FM05-02571</t>
  </si>
  <si>
    <t>FM05-02572</t>
  </si>
  <si>
    <t>FM05-02573</t>
  </si>
  <si>
    <t>FM05-02574</t>
  </si>
  <si>
    <t>FM05-02575</t>
  </si>
  <si>
    <t>FM05-02576</t>
  </si>
  <si>
    <t>FM05-02577</t>
  </si>
  <si>
    <t>FM05-02578</t>
  </si>
  <si>
    <t>FM05-02581</t>
  </si>
  <si>
    <t>FM05-02582</t>
  </si>
  <si>
    <t>FM05-02583</t>
  </si>
  <si>
    <t>FM05-02584</t>
  </si>
  <si>
    <t>FM05-02585</t>
  </si>
  <si>
    <t>FM05-02586</t>
  </si>
  <si>
    <t>FM05-02587</t>
  </si>
  <si>
    <t>FM05-02588</t>
  </si>
  <si>
    <t>FM05-02589</t>
  </si>
  <si>
    <t>FM05-02590</t>
  </si>
  <si>
    <t>FM05-02591</t>
  </si>
  <si>
    <t>FM05-02592</t>
  </si>
  <si>
    <t>FM05-02593</t>
  </si>
  <si>
    <t>FM05-02594</t>
  </si>
  <si>
    <t>FM05-02595</t>
  </si>
  <si>
    <t>FM05-02596</t>
  </si>
  <si>
    <t>FM05-02597</t>
  </si>
  <si>
    <t>FM05-02599</t>
  </si>
  <si>
    <t>FM05-02756</t>
  </si>
  <si>
    <t>FM05-02734</t>
  </si>
  <si>
    <t>FM05-02735</t>
  </si>
  <si>
    <t>FM05-02721</t>
  </si>
  <si>
    <t>FM05-02783</t>
  </si>
  <si>
    <t>FM05-02757</t>
  </si>
  <si>
    <t>FM05-02739</t>
  </si>
  <si>
    <t>FM05-02713</t>
  </si>
  <si>
    <t>FM05-02985</t>
  </si>
  <si>
    <t>FM05-02715</t>
  </si>
  <si>
    <t>FM05-02724</t>
  </si>
  <si>
    <t>FM05-02871</t>
  </si>
  <si>
    <t>FM05-02644</t>
  </si>
  <si>
    <t>FM05-02716</t>
  </si>
  <si>
    <t>FM05-02714</t>
  </si>
  <si>
    <t>FM05-02737</t>
  </si>
  <si>
    <t>FM05-02689</t>
  </si>
  <si>
    <t>FM05-02622</t>
  </si>
  <si>
    <t>CK.28053</t>
  </si>
  <si>
    <t>Escaner de Codigo de Barras Portatil</t>
  </si>
  <si>
    <t>FQCZG05</t>
  </si>
  <si>
    <t>No. 8532110050976111</t>
  </si>
  <si>
    <t>No. 8532110050976112</t>
  </si>
  <si>
    <t>No. 8532110050976113</t>
  </si>
  <si>
    <t>No. 8532110050976114</t>
  </si>
  <si>
    <t>No. 8532110050976115</t>
  </si>
  <si>
    <t>No. 8532110050976116</t>
  </si>
  <si>
    <t>No. 8532110050976117</t>
  </si>
  <si>
    <t>No. 8532110050976118</t>
  </si>
  <si>
    <t>No. 8532110050976119</t>
  </si>
  <si>
    <t>No. 8532110050976120</t>
  </si>
  <si>
    <t>No. 8532110050976121</t>
  </si>
  <si>
    <t>No. 8532110050976122</t>
  </si>
  <si>
    <t>No. 8532110050976123</t>
  </si>
  <si>
    <t>No. 8532110050976124</t>
  </si>
  <si>
    <t>No. 8532110050976125</t>
  </si>
  <si>
    <t>No. 8532110050976126</t>
  </si>
  <si>
    <t>No. 8532110050976127</t>
  </si>
  <si>
    <t>No. 8532110050976128</t>
  </si>
  <si>
    <t>No. 8532110050976129</t>
  </si>
  <si>
    <t>No. 8532110050976130</t>
  </si>
  <si>
    <t>No. 8532110050976131</t>
  </si>
  <si>
    <t>No. 8532110050976132</t>
  </si>
  <si>
    <t>No. 8532110050976133</t>
  </si>
  <si>
    <t>No. 8532110050976134</t>
  </si>
  <si>
    <t>No. 8532110050976135</t>
  </si>
  <si>
    <t>No. 8532110050976136</t>
  </si>
  <si>
    <t>No. 8532110050976137</t>
  </si>
  <si>
    <t>No. 8532110050976138</t>
  </si>
  <si>
    <t>No. 8532110050976139</t>
  </si>
  <si>
    <t>No. 8532110050976140</t>
  </si>
  <si>
    <t>No. 8532110050976141</t>
  </si>
  <si>
    <t>No. 8532110050976142</t>
  </si>
  <si>
    <t>No. 8532110050976143</t>
  </si>
  <si>
    <t>No. 8532110050976144</t>
  </si>
  <si>
    <t>No. 8532110050976145</t>
  </si>
  <si>
    <t>No. 8532110050976146</t>
  </si>
  <si>
    <t>No. 8532110050976147</t>
  </si>
  <si>
    <t>No. 8532110050976148</t>
  </si>
  <si>
    <t>No. 8532110050976149</t>
  </si>
  <si>
    <t>No. 8532110050976150</t>
  </si>
  <si>
    <t>No. 8532110050989755</t>
  </si>
  <si>
    <t>No. 8532110050989756</t>
  </si>
  <si>
    <t>No. 8532110050989757</t>
  </si>
  <si>
    <t>No. 8532110050989758</t>
  </si>
  <si>
    <t>No. 8532110050989759</t>
  </si>
  <si>
    <t>No. 8532110050989760</t>
  </si>
  <si>
    <t>No. 8532110050989761</t>
  </si>
  <si>
    <t>No. 8532110050989762</t>
  </si>
  <si>
    <t>No. 8532110050989763</t>
  </si>
  <si>
    <t>No. 8532110050989764</t>
  </si>
  <si>
    <t>No. 8532110050989765</t>
  </si>
  <si>
    <t>No. 8532110050989766</t>
  </si>
  <si>
    <t>No. 8532110050989767</t>
  </si>
  <si>
    <t>No. 8532110050989768</t>
  </si>
  <si>
    <t>No. 8532110050989769</t>
  </si>
  <si>
    <t>No. 8532110050989770</t>
  </si>
  <si>
    <t>No. 8532110050989771</t>
  </si>
  <si>
    <t>No. 8532110050989772</t>
  </si>
  <si>
    <t>No. 8532110050989773</t>
  </si>
  <si>
    <t>No. 8532110050989774</t>
  </si>
  <si>
    <t>UPS 295 APC RESPALDO 600 VA/330W/120V</t>
  </si>
  <si>
    <t>FM05-02782</t>
  </si>
  <si>
    <t>FM05-02786</t>
  </si>
  <si>
    <t>FM05-02787</t>
  </si>
  <si>
    <t>FM05-02788</t>
  </si>
  <si>
    <t>FM05-02789</t>
  </si>
  <si>
    <t>FM05-02790</t>
  </si>
  <si>
    <t>FM05-02791</t>
  </si>
  <si>
    <t>FM05-02792</t>
  </si>
  <si>
    <t>FM05-02793</t>
  </si>
  <si>
    <t>FM05-02794</t>
  </si>
  <si>
    <t>FM05-02795</t>
  </si>
  <si>
    <t>FM05-02796</t>
  </si>
  <si>
    <t>FM05-02797</t>
  </si>
  <si>
    <t>FM05-02798</t>
  </si>
  <si>
    <t>FM05-02799</t>
  </si>
  <si>
    <t>FM05-02801</t>
  </si>
  <si>
    <t>FM05-02802</t>
  </si>
  <si>
    <t>FM05-02803</t>
  </si>
  <si>
    <t>FM05-02806</t>
  </si>
  <si>
    <t>FM05-02812</t>
  </si>
  <si>
    <t>FM05-02814</t>
  </si>
  <si>
    <t>FM05-02821</t>
  </si>
  <si>
    <t>FM05-02719</t>
  </si>
  <si>
    <t>FM05-02722</t>
  </si>
  <si>
    <t>FM05-02720</t>
  </si>
  <si>
    <t>FM05-02723</t>
  </si>
  <si>
    <t>FM05-02771</t>
  </si>
  <si>
    <t>FM05-02772</t>
  </si>
  <si>
    <t>FM05-02770</t>
  </si>
  <si>
    <t>FM05-02768</t>
  </si>
  <si>
    <t>FM05-02767</t>
  </si>
  <si>
    <t>FM05-02766</t>
  </si>
  <si>
    <t>FM05-02780</t>
  </si>
  <si>
    <t>FM05-02731</t>
  </si>
  <si>
    <t>FM05-02732</t>
  </si>
  <si>
    <t>FM05-02762</t>
  </si>
  <si>
    <t>FM05-02773</t>
  </si>
  <si>
    <t>FM05-02774</t>
  </si>
  <si>
    <t>FM05-02775</t>
  </si>
  <si>
    <t>FM05-02776</t>
  </si>
  <si>
    <t>FM05-02777</t>
  </si>
  <si>
    <t>FM05-02778</t>
  </si>
  <si>
    <t>FM05-02779</t>
  </si>
  <si>
    <t>FM05-02781</t>
  </si>
  <si>
    <t>FM05-02708</t>
  </si>
  <si>
    <t>FM05-02749</t>
  </si>
  <si>
    <t>FM05-02747</t>
  </si>
  <si>
    <t>FM05-02746</t>
  </si>
  <si>
    <t>FM05-02741</t>
  </si>
  <si>
    <t>FM05-02755</t>
  </si>
  <si>
    <t>FM05-02754</t>
  </si>
  <si>
    <t>FM05-02703</t>
  </si>
  <si>
    <t>FM05-02765</t>
  </si>
  <si>
    <t>FM05-02709</t>
  </si>
  <si>
    <t>FM05-02730</t>
  </si>
  <si>
    <t>FM05-02729</t>
  </si>
  <si>
    <t>FM05-02728</t>
  </si>
  <si>
    <t>FM05-02727</t>
  </si>
  <si>
    <t>FM05-02733</t>
  </si>
  <si>
    <t>FM05-02763</t>
  </si>
  <si>
    <t>FM05-02764</t>
  </si>
  <si>
    <t>FM05-02761</t>
  </si>
  <si>
    <t>FM05-02704</t>
  </si>
  <si>
    <t>FM05-02745</t>
  </si>
  <si>
    <t>FM05-02706</t>
  </si>
  <si>
    <t>FM05-02705</t>
  </si>
  <si>
    <t>FM05-02742</t>
  </si>
  <si>
    <t>FM05-02707</t>
  </si>
  <si>
    <t>FM05-02744</t>
  </si>
  <si>
    <t>FM05-02752</t>
  </si>
  <si>
    <t>FM05-02710</t>
  </si>
  <si>
    <t>FM05-02743</t>
  </si>
  <si>
    <t>FM05-02701</t>
  </si>
  <si>
    <t>FM05-02702</t>
  </si>
  <si>
    <t>FM05-02973</t>
  </si>
  <si>
    <t>CK.28075</t>
  </si>
  <si>
    <t>S0B234L21280</t>
  </si>
  <si>
    <t>S0B234L21282</t>
  </si>
  <si>
    <t>S0B234L21283</t>
  </si>
  <si>
    <t>S0B234L21284</t>
  </si>
  <si>
    <t>S0B234L21285</t>
  </si>
  <si>
    <t>S0B234L21286</t>
  </si>
  <si>
    <t>S0B234L21287</t>
  </si>
  <si>
    <t>S0B234L21288</t>
  </si>
  <si>
    <t>S0B234L21291</t>
  </si>
  <si>
    <t>S0B234L21292</t>
  </si>
  <si>
    <t>S0B234L21294</t>
  </si>
  <si>
    <t>S0B234L21296</t>
  </si>
  <si>
    <t>S0B234L21297</t>
  </si>
  <si>
    <t>S0B234L21298</t>
  </si>
  <si>
    <t>S0B234L21299</t>
  </si>
  <si>
    <t>S0B234L21300</t>
  </si>
  <si>
    <t>S0B234L21301</t>
  </si>
  <si>
    <t>S0B234L21302</t>
  </si>
  <si>
    <t>S0B234L21303</t>
  </si>
  <si>
    <t>S0B234L21304</t>
  </si>
  <si>
    <t>S0B234L21306</t>
  </si>
  <si>
    <t>S0B234L21307</t>
  </si>
  <si>
    <t>S0B234L21308</t>
  </si>
  <si>
    <t>S0B234L21309</t>
  </si>
  <si>
    <t>S0B234L21311</t>
  </si>
  <si>
    <t>S0B234L21315</t>
  </si>
  <si>
    <t>S0B234L21316</t>
  </si>
  <si>
    <t>S0B234L21317</t>
  </si>
  <si>
    <t>S0B234L21318</t>
  </si>
  <si>
    <t>S0B234L21319</t>
  </si>
  <si>
    <t>S0B234L21320</t>
  </si>
  <si>
    <t>S0B234L21322</t>
  </si>
  <si>
    <t>S0B234L21324</t>
  </si>
  <si>
    <t>S0B234L21326</t>
  </si>
  <si>
    <t>S0B234L21327</t>
  </si>
  <si>
    <t>S0B234L21328</t>
  </si>
  <si>
    <t>S0B234L21329</t>
  </si>
  <si>
    <t>S0B234L21330</t>
  </si>
  <si>
    <t>S0B234L21333</t>
  </si>
  <si>
    <t>S0B234L21337</t>
  </si>
  <si>
    <t>S0B234L21338</t>
  </si>
  <si>
    <t>S0B234L21339</t>
  </si>
  <si>
    <t>S0B234L212281</t>
  </si>
  <si>
    <t>S0B234L21275</t>
  </si>
  <si>
    <t>S0B234L21271</t>
  </si>
  <si>
    <t>S0B234L21342</t>
  </si>
  <si>
    <t>S0B234L21345</t>
  </si>
  <si>
    <t>S0B234L21273</t>
  </si>
  <si>
    <t>S0B234L21370</t>
  </si>
  <si>
    <t>S0B234L21276</t>
  </si>
  <si>
    <t>S0B234L21354</t>
  </si>
  <si>
    <t>S0B234L21340</t>
  </si>
  <si>
    <t>S0B234L21274</t>
  </si>
  <si>
    <t>S0B234L21278</t>
  </si>
  <si>
    <t>S0B234L21344</t>
  </si>
  <si>
    <t>S0B234L21277</t>
  </si>
  <si>
    <t>S0B234L21353</t>
  </si>
  <si>
    <t>S0B234L212293</t>
  </si>
  <si>
    <t>S0B234L21279</t>
  </si>
  <si>
    <t>COMPU-OFFICE DOMINICANA,S.R.L</t>
  </si>
  <si>
    <t>IMPRESORA EPSON ECOTANK L1250</t>
  </si>
  <si>
    <t>FM05-02711</t>
  </si>
  <si>
    <t>FM05-02712</t>
  </si>
  <si>
    <t>FM05-02736</t>
  </si>
  <si>
    <t>FM05-02738</t>
  </si>
  <si>
    <t>FM05-02740</t>
  </si>
  <si>
    <t>FM05-02750</t>
  </si>
  <si>
    <t>FM05-02751</t>
  </si>
  <si>
    <t>FM05-02753</t>
  </si>
  <si>
    <t>FM05-02758</t>
  </si>
  <si>
    <t>FM05-02759</t>
  </si>
  <si>
    <t>FM05-02760</t>
  </si>
  <si>
    <t>FM05-02847</t>
  </si>
  <si>
    <t>FM05-02993</t>
  </si>
  <si>
    <t>FM05-02849</t>
  </si>
  <si>
    <t>FM05-02579</t>
  </si>
  <si>
    <t>FM05-02939</t>
  </si>
  <si>
    <t>FM05-02669</t>
  </si>
  <si>
    <t>FM05-02850</t>
  </si>
  <si>
    <t>FM05-02580</t>
  </si>
  <si>
    <t>FM05-02940</t>
  </si>
  <si>
    <t>FM05-02670</t>
  </si>
  <si>
    <t>FM05-02916</t>
  </si>
  <si>
    <t>FM05-02982</t>
  </si>
  <si>
    <t>FM05-02892</t>
  </si>
  <si>
    <t>FM05-02981</t>
  </si>
  <si>
    <t>FM05-02826</t>
  </si>
  <si>
    <t>FM05-02901</t>
  </si>
  <si>
    <t>FM05-02650</t>
  </si>
  <si>
    <t>FM05-02891</t>
  </si>
  <si>
    <t>FM05-02919</t>
  </si>
  <si>
    <t>FM05-02862</t>
  </si>
  <si>
    <t>FM05-02598</t>
  </si>
  <si>
    <t>FM05-02861</t>
  </si>
  <si>
    <t>FM05-02860</t>
  </si>
  <si>
    <t>FM05-02859</t>
  </si>
  <si>
    <t>FM05-02858</t>
  </si>
  <si>
    <t>FM05-02857</t>
  </si>
  <si>
    <t>FM05-02880</t>
  </si>
  <si>
    <t>FM05-02836</t>
  </si>
  <si>
    <t>FM05-02837</t>
  </si>
  <si>
    <t>FM05-02839</t>
  </si>
  <si>
    <t>FM05-02840</t>
  </si>
  <si>
    <t>FM05-02888</t>
  </si>
  <si>
    <t>FM05-02863</t>
  </si>
  <si>
    <t>IMPRESORA EPSON ECOTANK L1251</t>
  </si>
  <si>
    <t>IMPRESORA EPSON ECOTANK L1252</t>
  </si>
  <si>
    <t>IMPRESORA EPSON ECOTANK L1253</t>
  </si>
  <si>
    <t>IMPRESORA EPSON ECOTANK L1254</t>
  </si>
  <si>
    <t>IMPRESORA EPSON ECOTANK L1255</t>
  </si>
  <si>
    <t>IMPRESORA EPSON ECOTANK L1256</t>
  </si>
  <si>
    <t>IMPRESORA EPSON ECOTANK L1257</t>
  </si>
  <si>
    <t>IMPRESORA EPSON ECOTANK L1258</t>
  </si>
  <si>
    <t>IMPRESORA EPSON ECOTANK L1259</t>
  </si>
  <si>
    <t>IMPRESORA EPSON ECOTANK L1260</t>
  </si>
  <si>
    <t>IMPRESORA EPSON ECOTANK L1261</t>
  </si>
  <si>
    <t>IMPRESORA EPSON ECOTANK L1262</t>
  </si>
  <si>
    <t>IMPRESORA EPSON ECOTANK L1263</t>
  </si>
  <si>
    <t>IMPRESORA EPSON ECOTANK L1264</t>
  </si>
  <si>
    <t>IMPRESORA EPSON ECOTANK L1265</t>
  </si>
  <si>
    <t>IMPRESORA EPSON ECOTANK L1266</t>
  </si>
  <si>
    <t>IMPRESORA EPSON ECOTANK L1267</t>
  </si>
  <si>
    <t>IMPRESORA EPSON ECOTANK L1268</t>
  </si>
  <si>
    <t>IMPRESORA EPSON ECOTANK L1269</t>
  </si>
  <si>
    <t>IMPRESORA EPSON ECOTANK L1270</t>
  </si>
  <si>
    <t>IMPRESORA EPSON ECOTANK L1271</t>
  </si>
  <si>
    <t>IMPRESORA EPSON ECOTANK L1272</t>
  </si>
  <si>
    <t>IMPRESORA EPSON ECOTANK L1273</t>
  </si>
  <si>
    <t>IMPRESORA EPSON ECOTANK L1274</t>
  </si>
  <si>
    <t>IMPRESORA EPSON ECOTANK L1275</t>
  </si>
  <si>
    <t>IMPRESORA EPSON ECOTANK L1276</t>
  </si>
  <si>
    <t>IMPRESORA EPSON ECOTANK L1277</t>
  </si>
  <si>
    <t>IMPRESORA EPSON ECOTANK L1278</t>
  </si>
  <si>
    <t>IMPRESORA EPSON ECOTANK L1279</t>
  </si>
  <si>
    <t>IMPRESORA EPSON ECOTANK L1280</t>
  </si>
  <si>
    <t>IMPRESORA EPSON ECOTANK L1281</t>
  </si>
  <si>
    <t>IMPRESORA EPSON ECOTANK L1282</t>
  </si>
  <si>
    <t>IMPRESORA EPSON ECOTANK L1283</t>
  </si>
  <si>
    <t>IMPRESORA EPSON ECOTANK L1284</t>
  </si>
  <si>
    <t>IMPRESORA EPSON ECOTANK L1285</t>
  </si>
  <si>
    <t>IMPRESORA EPSON ECOTANK L1286</t>
  </si>
  <si>
    <t>IMPRESORA EPSON ECOTANK L1287</t>
  </si>
  <si>
    <t>IMPRESORA EPSON ECOTANK L1288</t>
  </si>
  <si>
    <t>IMPRESORA EPSON ECOTANK L1289</t>
  </si>
  <si>
    <t>IMPRESORA EPSON ECOTANK L1290</t>
  </si>
  <si>
    <t>IMPRESORA EPSON ECOTANK L1291</t>
  </si>
  <si>
    <t>IMPRESORA EPSON ECOTANK L1292</t>
  </si>
  <si>
    <t>IMPRESORA EPSON ECOTANK L1293</t>
  </si>
  <si>
    <t>IMPRESORA EPSON ECOTANK L1294</t>
  </si>
  <si>
    <t>IMPRESORA EPSON ECOTANK L1295</t>
  </si>
  <si>
    <t>IMPRESORA EPSON ECOTANK L1296</t>
  </si>
  <si>
    <t>IMPRESORA EPSON ECOTANK L1297</t>
  </si>
  <si>
    <t>IMPRESORA EPSON ECOTANK L1298</t>
  </si>
  <si>
    <t>IMPRESORA EPSON ECOTANK L1299</t>
  </si>
  <si>
    <t>IMPRESORA EPSON ECOTANK L1300</t>
  </si>
  <si>
    <t>IMPRESORA EPSON ECOTANK L1301</t>
  </si>
  <si>
    <t>IMPRESORA EPSON ECOTANK L1302</t>
  </si>
  <si>
    <t>IMPRESORA EPSON ECOTANK L1303</t>
  </si>
  <si>
    <t>IMPRESORA EPSON ECOTANK L1304</t>
  </si>
  <si>
    <t>IMPRESORA EPSON ECOTANK L1305</t>
  </si>
  <si>
    <t>IMPRESORA EPSON ECOTANK L1306</t>
  </si>
  <si>
    <t>IMPRESORA EPSON ECOTANK L1307</t>
  </si>
  <si>
    <t>IMPRESORA EPSON ECOTANK L1308</t>
  </si>
  <si>
    <t>IMPRESORA EPSON ECOTANK L1309</t>
  </si>
  <si>
    <t xml:space="preserve">Gerencia Tecnica/Annya Gabriella Penn Farjado          </t>
  </si>
  <si>
    <t xml:space="preserve">CC1H144294/ En Proceso de Ubicación </t>
  </si>
  <si>
    <t xml:space="preserve">Dept. Administrativo/ Wanda Medina </t>
  </si>
  <si>
    <t xml:space="preserve">Dept de Adquisiciones           </t>
  </si>
  <si>
    <t xml:space="preserve">Gerencia Tecnica/Rosa Sanchez        </t>
  </si>
  <si>
    <t xml:space="preserve">Dept. Administrativo/Miriam Baez </t>
  </si>
  <si>
    <t xml:space="preserve">Gerencia Tecnica / Melvin Brioso         </t>
  </si>
  <si>
    <t>Gerencia Tecnica/Melvin Brioso</t>
  </si>
  <si>
    <t>Gerencia Tecnica/ Melvin Brioso</t>
  </si>
  <si>
    <t xml:space="preserve"> Gerencia Tecnica/ Elizabet Montero</t>
  </si>
  <si>
    <t xml:space="preserve">Gerencia Tecnica      Monitoreo y Evaluacion/ Rosa Sanchez </t>
  </si>
  <si>
    <r>
      <t xml:space="preserve">Coordinación Administrativa          Mirian Baez/ </t>
    </r>
    <r>
      <rPr>
        <b/>
        <sz val="11"/>
        <rFont val="Arial"/>
        <family val="2"/>
      </rPr>
      <t xml:space="preserve">DEFECTUOSO </t>
    </r>
  </si>
  <si>
    <t xml:space="preserve">Consultoría Jurídica/ Maria Altagracia </t>
  </si>
  <si>
    <t xml:space="preserve">Planificacion / Noemi Encarnacion </t>
  </si>
  <si>
    <t xml:space="preserve">Gestion Humana        Angie Muñoz </t>
  </si>
  <si>
    <t xml:space="preserve">Escaner de Mesa EPSON </t>
  </si>
  <si>
    <t>A0VB372734</t>
  </si>
  <si>
    <t>Dept. Financiero / Elysauris Casilla Mieses</t>
  </si>
  <si>
    <t>XBFQ055126</t>
  </si>
  <si>
    <t>XBFQ042545</t>
  </si>
  <si>
    <t>XBFQ042544</t>
  </si>
  <si>
    <t>XBFQ042547</t>
  </si>
  <si>
    <t>XBFQ068228</t>
  </si>
  <si>
    <t>XBFQ042542</t>
  </si>
  <si>
    <t>XBFQ042536</t>
  </si>
  <si>
    <t>XBFQ042372</t>
  </si>
  <si>
    <t>XBFQ068135</t>
  </si>
  <si>
    <t>XBFQ042526</t>
  </si>
  <si>
    <t>XBFQ042554</t>
  </si>
  <si>
    <t>XBFQ042550</t>
  </si>
  <si>
    <t>XBFQ042523</t>
  </si>
  <si>
    <t>XBFQ042487</t>
  </si>
  <si>
    <t>XBFQ042551</t>
  </si>
  <si>
    <t>XBFQ068100</t>
  </si>
  <si>
    <t>XBFQ069127</t>
  </si>
  <si>
    <t>XBFQ042472</t>
  </si>
  <si>
    <t>XBFQ042546</t>
  </si>
  <si>
    <t>XBFQ042556</t>
  </si>
  <si>
    <t>XBFQ042543</t>
  </si>
  <si>
    <t>XBFQ042522</t>
  </si>
  <si>
    <t>XBFQ042499</t>
  </si>
  <si>
    <t>XBFQ042521</t>
  </si>
  <si>
    <t>XBFQ042535</t>
  </si>
  <si>
    <t>XBFQ068146</t>
  </si>
  <si>
    <t>XBFQ068136</t>
  </si>
  <si>
    <t>XBFQ068133</t>
  </si>
  <si>
    <t>XBFQ068054</t>
  </si>
  <si>
    <t>XBFQ068119</t>
  </si>
  <si>
    <t>XBFQ068114</t>
  </si>
  <si>
    <t>XBFQ068138</t>
  </si>
  <si>
    <t>XBFQ068123</t>
  </si>
  <si>
    <t>XBFQ068113</t>
  </si>
  <si>
    <t>XBFQ068122</t>
  </si>
  <si>
    <t>XBFQ068140</t>
  </si>
  <si>
    <t>XBFQ033631</t>
  </si>
  <si>
    <t>XBFQ055101</t>
  </si>
  <si>
    <t>XBFQ055086</t>
  </si>
  <si>
    <t>XBFQ042533</t>
  </si>
  <si>
    <t>XBFQ068127</t>
  </si>
  <si>
    <t>XBFQ68142</t>
  </si>
  <si>
    <t>XBFQ068128</t>
  </si>
  <si>
    <t>XBFQ042502</t>
  </si>
  <si>
    <t>XBFQ055098</t>
  </si>
  <si>
    <t>XBFQ069132</t>
  </si>
  <si>
    <t>XBFQ068145</t>
  </si>
  <si>
    <t>XBFQ068134</t>
  </si>
  <si>
    <t>XBFQ068069</t>
  </si>
  <si>
    <t>XBFQ042538</t>
  </si>
  <si>
    <t>XBFQ042540</t>
  </si>
  <si>
    <t>XBFQ068149</t>
  </si>
  <si>
    <t>XBFQ068139</t>
  </si>
  <si>
    <t>XBFQ042529</t>
  </si>
  <si>
    <t>XBFQ068131</t>
  </si>
  <si>
    <t>XBFQ068115</t>
  </si>
  <si>
    <t>XBFQ068126</t>
  </si>
  <si>
    <t>XBFQ068016</t>
  </si>
  <si>
    <t>XBFQ068141</t>
  </si>
  <si>
    <t>XBFQ067956</t>
  </si>
  <si>
    <t>FM05-02920</t>
  </si>
  <si>
    <t>Ck.28088</t>
  </si>
  <si>
    <t>FM05-02838</t>
  </si>
  <si>
    <t>FM05-02893</t>
  </si>
  <si>
    <t>FM05-02894</t>
  </si>
  <si>
    <t>FM05-02895</t>
  </si>
  <si>
    <t>FM05-02896</t>
  </si>
  <si>
    <t>FM05-02810</t>
  </si>
  <si>
    <t>FM05-02805</t>
  </si>
  <si>
    <t>FM05-02852</t>
  </si>
  <si>
    <t>FM05-02853</t>
  </si>
  <si>
    <t>FM05-02804</t>
  </si>
  <si>
    <t>FM05-02830</t>
  </si>
  <si>
    <t>FM05-02828</t>
  </si>
  <si>
    <t>FM05-02829</t>
  </si>
  <si>
    <t>Laptop Tipo Dell B</t>
  </si>
  <si>
    <t>CDLBLY3</t>
  </si>
  <si>
    <t>Laptop Latitude 5540 Tipo Dell B</t>
  </si>
  <si>
    <t>72GPY04</t>
  </si>
  <si>
    <t>92GPY04</t>
  </si>
  <si>
    <t>13GPY04</t>
  </si>
  <si>
    <t>D2GPY04</t>
  </si>
  <si>
    <t>82GPY04</t>
  </si>
  <si>
    <t>H2GPY04</t>
  </si>
  <si>
    <t>C2GPY04</t>
  </si>
  <si>
    <t>J2GPY04</t>
  </si>
  <si>
    <t>62GPY04</t>
  </si>
  <si>
    <t>F2GPY04</t>
  </si>
  <si>
    <t>52GPY04</t>
  </si>
  <si>
    <t>B2GPY04</t>
  </si>
  <si>
    <t>G2GPY04</t>
  </si>
  <si>
    <t>CK.28068</t>
  </si>
  <si>
    <t>FM05-02823</t>
  </si>
  <si>
    <t>FM05-02824</t>
  </si>
  <si>
    <t xml:space="preserve">Lapto Apple Macbook Air 15 con sus Accseorios Mause USB,bulto , Adaptador </t>
  </si>
  <si>
    <t>GX2G7443G7</t>
  </si>
  <si>
    <t>DWQNCNQMR7</t>
  </si>
  <si>
    <t xml:space="preserve">Gerencia Tecnica/ Patricia Rivera </t>
  </si>
  <si>
    <t xml:space="preserve">Gerencia Tecnica/ Leticia Coss </t>
  </si>
  <si>
    <t>Lapto Apple Macbook Air 15 con sus Accseorios Mause USB,bulto , Adaptador, Cristal Clear .</t>
  </si>
  <si>
    <t>Lib.630-1</t>
  </si>
  <si>
    <t>9NYV7Y3</t>
  </si>
  <si>
    <t>Computador Dell Optiplex 7010 Plus , Incluye:Monitor Dell 22 , Microfono , Camara Web con tapa Protector de lente ,Teclado y Mause.</t>
  </si>
  <si>
    <t>GOB-02-01900</t>
  </si>
  <si>
    <t>GOBDOM-02-02015</t>
  </si>
  <si>
    <t>GOBDOM-02-02016</t>
  </si>
  <si>
    <t>GOBDOM-02-02017</t>
  </si>
  <si>
    <t>GOBDOM-02-02018</t>
  </si>
  <si>
    <t>GOBDOM-02-02019</t>
  </si>
  <si>
    <t>GOBDOM-02-02020</t>
  </si>
  <si>
    <t>GOBDOM-02-02021</t>
  </si>
  <si>
    <t>GOBDOM-02-02022</t>
  </si>
  <si>
    <t>GOBDOM-02-02023</t>
  </si>
  <si>
    <t>GOBDOM-02-02024</t>
  </si>
  <si>
    <t>GOBDOM-02-02025</t>
  </si>
  <si>
    <t>GOBDOM-02-02026</t>
  </si>
  <si>
    <t>GOBDOM-02-02027</t>
  </si>
  <si>
    <t>GOBDOM-02-02028</t>
  </si>
  <si>
    <t>GOBDOM-02-02029</t>
  </si>
  <si>
    <t>GOBDOM-02-02030</t>
  </si>
  <si>
    <t>GOBDOM-02-02031</t>
  </si>
  <si>
    <t xml:space="preserve">Telefono IP Yealink SIP-T54W,Pantalla 3.7,10 Lineas ,16 SIP </t>
  </si>
  <si>
    <t>301081F041210929</t>
  </si>
  <si>
    <t>301081F041212262</t>
  </si>
  <si>
    <t>301081F041213930</t>
  </si>
  <si>
    <t>301081F041211870</t>
  </si>
  <si>
    <t>301081F041213718</t>
  </si>
  <si>
    <t>301081F041210341</t>
  </si>
  <si>
    <t>301081F041211189</t>
  </si>
  <si>
    <t>301081F041213110</t>
  </si>
  <si>
    <t>301081F041211705</t>
  </si>
  <si>
    <t>301081F041213176</t>
  </si>
  <si>
    <t>301081F041211263</t>
  </si>
  <si>
    <t>301081F041212630</t>
  </si>
  <si>
    <t>301081F041213773</t>
  </si>
  <si>
    <t>301081F041210348</t>
  </si>
  <si>
    <t>301081F041212647</t>
  </si>
  <si>
    <t>GOBDOM-02-02032</t>
  </si>
  <si>
    <t>GOBDOM-02-02033</t>
  </si>
  <si>
    <t>GOBDOM-02-02034</t>
  </si>
  <si>
    <t>GOBDOM-02-02035</t>
  </si>
  <si>
    <t>GOBDOM-02-02036</t>
  </si>
  <si>
    <t>GOBDOM-02-02037</t>
  </si>
  <si>
    <t>GOBDOM-02-02038</t>
  </si>
  <si>
    <t>GOBDOM-02-02039</t>
  </si>
  <si>
    <t>GOBDOM-02-02040</t>
  </si>
  <si>
    <t>GOBDOM-02-02041</t>
  </si>
  <si>
    <t>GOBDOM-02-02042</t>
  </si>
  <si>
    <t>GOBDOM-02-02043</t>
  </si>
  <si>
    <t>GOBDOM-02-02044</t>
  </si>
  <si>
    <t>GOBDOM-02-02045</t>
  </si>
  <si>
    <t>GOBDOM-02-02046</t>
  </si>
  <si>
    <t>GOBDOM-02-02047</t>
  </si>
  <si>
    <t>GOBDOM-02-02048</t>
  </si>
  <si>
    <t>GOBDOM-02-02049</t>
  </si>
  <si>
    <r>
      <t>Telefono IP Yealink SIP-</t>
    </r>
    <r>
      <rPr>
        <b/>
        <sz val="10"/>
        <rFont val="Arial"/>
        <family val="2"/>
      </rPr>
      <t>T54W</t>
    </r>
    <r>
      <rPr>
        <sz val="10"/>
        <rFont val="Arial"/>
        <family val="2"/>
      </rPr>
      <t xml:space="preserve">,Pantalla 3.7,10 Lineas ,16 SIP </t>
    </r>
  </si>
  <si>
    <r>
      <t>Telefono IP Yealink SIP-</t>
    </r>
    <r>
      <rPr>
        <b/>
        <sz val="10"/>
        <rFont val="Arial"/>
        <family val="2"/>
      </rPr>
      <t>T54W</t>
    </r>
    <r>
      <rPr>
        <sz val="10"/>
        <rFont val="Arial"/>
        <family val="2"/>
      </rPr>
      <t xml:space="preserve"> ,Pantalla 3.7,10 Lineas ,16 SIP </t>
    </r>
  </si>
  <si>
    <t xml:space="preserve">Telefono IP Yealink SIP-T53W,Pantalla 3.7,8 Lineas ,12 SIP </t>
  </si>
  <si>
    <t>201087E093214694</t>
  </si>
  <si>
    <r>
      <t>Telefono IP Yealink SIP-</t>
    </r>
    <r>
      <rPr>
        <sz val="14"/>
        <rFont val="Arial"/>
        <family val="2"/>
      </rPr>
      <t>T54W</t>
    </r>
    <r>
      <rPr>
        <sz val="10"/>
        <rFont val="Arial"/>
        <family val="2"/>
      </rPr>
      <t xml:space="preserve">,Pantalla 3.7,10 Lineas ,16 SIP </t>
    </r>
  </si>
  <si>
    <t>201087E093215661</t>
  </si>
  <si>
    <t>201087E093217477</t>
  </si>
  <si>
    <t>201087E073201749</t>
  </si>
  <si>
    <t>201087E073201937</t>
  </si>
  <si>
    <t>201087E073201219</t>
  </si>
  <si>
    <t>201087E073202692</t>
  </si>
  <si>
    <t>201087E073202906</t>
  </si>
  <si>
    <t>201087E073200851</t>
  </si>
  <si>
    <t>201087E073201826</t>
  </si>
  <si>
    <t>201087E093215040</t>
  </si>
  <si>
    <t>201087E093216713</t>
  </si>
  <si>
    <t>201087E073201331</t>
  </si>
  <si>
    <t>201087E073201777</t>
  </si>
  <si>
    <t>201087E073202941</t>
  </si>
  <si>
    <t>201087E073202632</t>
  </si>
  <si>
    <t>201087E073202813</t>
  </si>
  <si>
    <t>201087E073200690</t>
  </si>
  <si>
    <t>201087E073201819</t>
  </si>
  <si>
    <t>201087E073202148</t>
  </si>
  <si>
    <t>Lib.658-1</t>
  </si>
  <si>
    <t>GOBDOM-02-02050</t>
  </si>
  <si>
    <t>Archivo Metalico Modular de 3 gavetas, Con ruedas Y  con su llave.</t>
  </si>
  <si>
    <t>SILLON SEMI-EJECUTIVO, Espaldar en Malla ,Asiento En Tela Con Soporte Lumbar y Brazo Ajustable.</t>
  </si>
  <si>
    <t>Archivo Vertical de 4 Gavetas, Metálico, Color Gris con llave .</t>
  </si>
  <si>
    <t>Archivo Horizontal de 4 Gavetas, Metálico, Color Gris con llave .</t>
  </si>
  <si>
    <t xml:space="preserve">Crendenza de 1.10 Metros de  2 Puerta, Color:Haya, Con Llavin </t>
  </si>
  <si>
    <t>GOBDOM-02-02051</t>
  </si>
  <si>
    <t>GOBDOM-02-02052</t>
  </si>
  <si>
    <t>GOBDOM-02-02053</t>
  </si>
  <si>
    <t>GOBDOM-02-02054</t>
  </si>
  <si>
    <t>GOBDOM-02-02055</t>
  </si>
  <si>
    <t>GOBDOM-02-02056</t>
  </si>
  <si>
    <t>GOBDOM-02-02057</t>
  </si>
  <si>
    <t>GOBDOM-02-02058</t>
  </si>
  <si>
    <t>GOBDOM-02-02059</t>
  </si>
  <si>
    <t>GOBDOM-02-02060</t>
  </si>
  <si>
    <t>GOBDOM-02-02061</t>
  </si>
  <si>
    <t>GOBDOM-02-02062</t>
  </si>
  <si>
    <t>GOBDOM-02-02063</t>
  </si>
  <si>
    <t>GOBDOM-02-02064</t>
  </si>
  <si>
    <t>GOBDOM-02-02065</t>
  </si>
  <si>
    <t>GOBDOM-02-02066</t>
  </si>
  <si>
    <t>GOBDOM-02-02067</t>
  </si>
  <si>
    <t>GOBDOM-02-02068</t>
  </si>
  <si>
    <t>GOBDOM-02-02069</t>
  </si>
  <si>
    <t xml:space="preserve">CENTROXPERT STE, SRL </t>
  </si>
  <si>
    <t>MUÑOZ CONCEPTO MOBILIARIOS, SRL</t>
  </si>
  <si>
    <t>GOBDOM-02-02070</t>
  </si>
  <si>
    <t>GOBDOM-02-02071</t>
  </si>
  <si>
    <t>GOBDOM-02-02072</t>
  </si>
  <si>
    <t>Lib.762-1</t>
  </si>
  <si>
    <t>DEMERO COTRUCTORA,S.R.L.</t>
  </si>
  <si>
    <t>Aire Acondicionado 12K BTU ,Marca: Confort Time  .</t>
  </si>
  <si>
    <t>Manejadora de 5 Tonelada , Marca TGM</t>
  </si>
  <si>
    <t xml:space="preserve">Dept Administrativo Financiero </t>
  </si>
  <si>
    <t>B8888D458601N02590</t>
  </si>
  <si>
    <t>Compresor de 24 BTU, Marca Copeland Scroll</t>
  </si>
  <si>
    <t>GOBDOM-02-02073</t>
  </si>
  <si>
    <t>GOBDOM-02-02074</t>
  </si>
  <si>
    <t>BROTHERS RSR  SUPPLY OFFICE ,SRL</t>
  </si>
  <si>
    <t>Trituradora de papel Royal 126X,12 Hojas ,Corte Cruzado ,Tritura Grapa y TC .</t>
  </si>
  <si>
    <t>Lib.808-1</t>
  </si>
  <si>
    <t>GOBDOM-02-02075</t>
  </si>
  <si>
    <t>Lib.478</t>
  </si>
  <si>
    <t>GOBDOM-02-02076</t>
  </si>
  <si>
    <t>GOBDOM-02-02077</t>
  </si>
  <si>
    <t>GOBDOM-02-02078</t>
  </si>
  <si>
    <t>GOBDOM-02-02079</t>
  </si>
  <si>
    <t>GOBDOM-02-02080</t>
  </si>
  <si>
    <t>GOBDOM-02-02081</t>
  </si>
  <si>
    <t>GOBDOM-02-02082</t>
  </si>
  <si>
    <t>GOBDOM-02-02083</t>
  </si>
  <si>
    <t>GOBDOM-02-02084</t>
  </si>
  <si>
    <t>GOBDOM-02-02085</t>
  </si>
  <si>
    <t>GOBDOM-02-02086</t>
  </si>
  <si>
    <t>GOBDOM-02-02087</t>
  </si>
  <si>
    <t>Laptop Latitude 5540 Tipo B-15.6</t>
  </si>
  <si>
    <t>DBLBLY3</t>
  </si>
  <si>
    <t>4BLBLY3</t>
  </si>
  <si>
    <t>6BLBLY3</t>
  </si>
  <si>
    <t>BBLBLY3</t>
  </si>
  <si>
    <t>9BLBLY3</t>
  </si>
  <si>
    <t>5BLBLY3</t>
  </si>
  <si>
    <t>7BLBLY3</t>
  </si>
  <si>
    <t>CBLBLY3</t>
  </si>
  <si>
    <t>8BLBLY3</t>
  </si>
  <si>
    <t xml:space="preserve">Francia  Taveras </t>
  </si>
  <si>
    <t>Ninosca Castillo Mosquete</t>
  </si>
  <si>
    <t xml:space="preserve">Noemi Encarnacion </t>
  </si>
  <si>
    <t xml:space="preserve">Wellinton Mora </t>
  </si>
  <si>
    <t xml:space="preserve">Yoel Mieses </t>
  </si>
  <si>
    <t>Grisselle de La Rosa Angomas</t>
  </si>
  <si>
    <t xml:space="preserve">Gloria Peña </t>
  </si>
  <si>
    <t xml:space="preserve">Indhira Popoteur Corniel </t>
  </si>
  <si>
    <t xml:space="preserve">Gumersindo de Jesus Cuevas Arias </t>
  </si>
  <si>
    <t xml:space="preserve">Departamento Administrativo/Maria Soledad Casanova </t>
  </si>
  <si>
    <t>Computadora DeskTop Tipo B</t>
  </si>
  <si>
    <t>GOBDOM-02-02088</t>
  </si>
  <si>
    <t xml:space="preserve">CECOMSA </t>
  </si>
  <si>
    <t>Lib. 370-1</t>
  </si>
  <si>
    <t xml:space="preserve">Caja de Conexion de Red/Fortiswitch de 24 Puertos con limites de370 W y control Inteligente. </t>
  </si>
  <si>
    <t>S124FFTF23028975</t>
  </si>
  <si>
    <t>S124FFTF23028980</t>
  </si>
  <si>
    <t>Licencia para Soporte de garantia para Switch de 240Puertos.</t>
  </si>
  <si>
    <t>AALTATEC</t>
  </si>
  <si>
    <t>ALTATEC COMUNICATIONS SRL</t>
  </si>
  <si>
    <t xml:space="preserve">Dept. Financiero </t>
  </si>
  <si>
    <t>Fecha de Adqusicion</t>
  </si>
  <si>
    <t xml:space="preserve">Fecha de Factura </t>
  </si>
  <si>
    <t>GFWW704/ FFWW704</t>
  </si>
  <si>
    <r>
      <t>Licencia de Software de Virtualizacion para servidor ,</t>
    </r>
    <r>
      <rPr>
        <b/>
        <sz val="11"/>
        <color theme="1"/>
        <rFont val="Calibri"/>
        <family val="2"/>
        <scheme val="minor"/>
      </rPr>
      <t xml:space="preserve"> Cantidad:16</t>
    </r>
  </si>
  <si>
    <t>COVID-0001</t>
  </si>
  <si>
    <t>COVID-0002</t>
  </si>
  <si>
    <t>COVID-0003</t>
  </si>
  <si>
    <t>COVID-0004</t>
  </si>
  <si>
    <t>COVID-0005</t>
  </si>
  <si>
    <t>COVID-0006</t>
  </si>
  <si>
    <t>COVID-0007</t>
  </si>
  <si>
    <t>COVID-0008</t>
  </si>
  <si>
    <t>COVID-0009</t>
  </si>
  <si>
    <t>COVID-0010</t>
  </si>
  <si>
    <t>COVID-0011</t>
  </si>
  <si>
    <t>COVID-0012</t>
  </si>
  <si>
    <t>COVID-0035</t>
  </si>
  <si>
    <t>COVID-0036</t>
  </si>
  <si>
    <t>COVID-0013</t>
  </si>
  <si>
    <t>COVID-0014</t>
  </si>
  <si>
    <t>COVID-0015</t>
  </si>
  <si>
    <t>COVID-0016</t>
  </si>
  <si>
    <t>COVID-0017</t>
  </si>
  <si>
    <t>COVID-0018</t>
  </si>
  <si>
    <t>COVID-0019</t>
  </si>
  <si>
    <t>COVID-0020</t>
  </si>
  <si>
    <t>COVID-0021</t>
  </si>
  <si>
    <t>COVID-0022</t>
  </si>
  <si>
    <t>COVID-0023</t>
  </si>
  <si>
    <t>COVID-0024</t>
  </si>
  <si>
    <t>COVID-0025</t>
  </si>
  <si>
    <t>COVID-0026</t>
  </si>
  <si>
    <t>COVID-0027</t>
  </si>
  <si>
    <t>COVID-0028</t>
  </si>
  <si>
    <t>COVID-0029</t>
  </si>
  <si>
    <t>COVID-0030</t>
  </si>
  <si>
    <t>COVID-0031</t>
  </si>
  <si>
    <t>COVID-0032</t>
  </si>
  <si>
    <t>COVID-0033</t>
  </si>
  <si>
    <t>COVID-0034</t>
  </si>
  <si>
    <t>Camara de sala de sala de Conferencia HDMI/RJ45/USB PTZ Zoom</t>
  </si>
  <si>
    <t>COVID-0037</t>
  </si>
  <si>
    <t>OKJYHNLW800082V</t>
  </si>
  <si>
    <t>OKJYHNLWA00063E</t>
  </si>
  <si>
    <t>HDMI45</t>
  </si>
  <si>
    <t xml:space="preserve">Deptamento de Compras </t>
  </si>
  <si>
    <t>Utic</t>
  </si>
  <si>
    <t>Total Año 2024</t>
  </si>
  <si>
    <r>
      <rPr>
        <b/>
        <sz val="11"/>
        <color indexed="10"/>
        <rFont val="Arial"/>
        <family val="2"/>
      </rPr>
      <t xml:space="preserve">       Nota_2:</t>
    </r>
    <r>
      <rPr>
        <b/>
        <sz val="11"/>
        <color indexed="18"/>
        <rFont val="Arial"/>
        <family val="2"/>
      </rPr>
      <t xml:space="preserve"> Realizamos un levantamiento en Octubre-Noviembre del año 2023 </t>
    </r>
  </si>
  <si>
    <t xml:space="preserve">y encontramos muchos Activos Dañado para los fines de ser descargado </t>
  </si>
  <si>
    <t>a Bienes Nacionales.</t>
  </si>
  <si>
    <t>Lic. Jose A. Silvestre</t>
  </si>
  <si>
    <t>Transf. 1900</t>
  </si>
  <si>
    <t>Transf. 1890</t>
  </si>
  <si>
    <t>Ck.28184</t>
  </si>
  <si>
    <t>Impresora Ecotank L6270</t>
  </si>
  <si>
    <t>X8G5043192</t>
  </si>
  <si>
    <t>Ck.28187</t>
  </si>
  <si>
    <t>FM05-02884</t>
  </si>
  <si>
    <t>FM05-02854</t>
  </si>
  <si>
    <t>FM05-02889</t>
  </si>
  <si>
    <t>FM05-02831</t>
  </si>
  <si>
    <t>FM05-02887</t>
  </si>
  <si>
    <t>FM05-02832</t>
  </si>
  <si>
    <t>FM05-02877</t>
  </si>
  <si>
    <t>FM05-02842</t>
  </si>
  <si>
    <t>FM05-02890</t>
  </si>
  <si>
    <t>FM05-80890</t>
  </si>
  <si>
    <t>FM05-02800</t>
  </si>
  <si>
    <t>FM05-02883</t>
  </si>
  <si>
    <t>FM05-02879</t>
  </si>
  <si>
    <t>FM05-02878</t>
  </si>
  <si>
    <t>X8G5049891</t>
  </si>
  <si>
    <t>X8G5049958</t>
  </si>
  <si>
    <t>X8G5050019</t>
  </si>
  <si>
    <t>X8G5080861</t>
  </si>
  <si>
    <t>X8G5080917</t>
  </si>
  <si>
    <t>X8G5080925</t>
  </si>
  <si>
    <t>X8G5080910</t>
  </si>
  <si>
    <t>X8G5081132</t>
  </si>
  <si>
    <t>X8G5081134</t>
  </si>
  <si>
    <t>X8G5081116</t>
  </si>
  <si>
    <t>X8G5081084</t>
  </si>
  <si>
    <t>X8G5081147</t>
  </si>
  <si>
    <t>X8G5081121</t>
  </si>
  <si>
    <t>X8G5081142</t>
  </si>
  <si>
    <t>ClickTeck</t>
  </si>
  <si>
    <t>FM0502673</t>
  </si>
  <si>
    <t>FM0502625</t>
  </si>
  <si>
    <t>FM0502699</t>
  </si>
  <si>
    <t>FM0502677</t>
  </si>
  <si>
    <t>FM05-02683</t>
  </si>
  <si>
    <t>FM05-02674</t>
  </si>
  <si>
    <t>FM05-02676</t>
  </si>
  <si>
    <t>FM05-02678</t>
  </si>
  <si>
    <t>FM05-02679</t>
  </si>
  <si>
    <t>FM05-02680</t>
  </si>
  <si>
    <t>FM05-02684</t>
  </si>
  <si>
    <t>FM05-02671</t>
  </si>
  <si>
    <t>FM05-02672</t>
  </si>
  <si>
    <t>FM05-02607</t>
  </si>
  <si>
    <t>FM05-02613</t>
  </si>
  <si>
    <t>FM05-02641</t>
  </si>
  <si>
    <t>FM05-02642</t>
  </si>
  <si>
    <t>Computadora de Escritorio Dell Optiplex 3000 SFF i5/Monitor Dell LCD</t>
  </si>
  <si>
    <t>26T3VM3</t>
  </si>
  <si>
    <t>26T3VM7</t>
  </si>
  <si>
    <t>26T3VM8</t>
  </si>
  <si>
    <t>26T3VM9</t>
  </si>
  <si>
    <t>26T3VM10</t>
  </si>
  <si>
    <t>26T3VM11</t>
  </si>
  <si>
    <t>26T3VM12</t>
  </si>
  <si>
    <t>26T3VM13</t>
  </si>
  <si>
    <t>26T3VM14</t>
  </si>
  <si>
    <t>26T3VM15</t>
  </si>
  <si>
    <t>26T3VM16</t>
  </si>
  <si>
    <t>26T3VM17</t>
  </si>
  <si>
    <t>GJS3VM4</t>
  </si>
  <si>
    <t>1514VM5</t>
  </si>
  <si>
    <t>47T3VM6</t>
  </si>
  <si>
    <t xml:space="preserve">Código/ No. De Comodatos </t>
  </si>
  <si>
    <t>FM05-02685</t>
  </si>
  <si>
    <t>FM05-02881</t>
  </si>
  <si>
    <t>FM05-02843</t>
  </si>
  <si>
    <t>FM05-02886</t>
  </si>
  <si>
    <t>FM05-02885</t>
  </si>
  <si>
    <t>FM05-02844</t>
  </si>
  <si>
    <t>FM05-02834</t>
  </si>
  <si>
    <t>FM05-02841</t>
  </si>
  <si>
    <t>FM05-02835</t>
  </si>
  <si>
    <t>FM05-02769</t>
  </si>
  <si>
    <t>FM05-02961</t>
  </si>
  <si>
    <t>FM05-02845</t>
  </si>
  <si>
    <t>FM05-02601</t>
  </si>
  <si>
    <t>UPS FORZA NT SERIES 500VA /250W</t>
  </si>
  <si>
    <r>
      <t xml:space="preserve">Soporte Para TV ,Argom Movimiento Completo Inclinable Con Doble Brazo,  </t>
    </r>
    <r>
      <rPr>
        <b/>
        <sz val="11"/>
        <color theme="1"/>
        <rFont val="Arial"/>
        <family val="2"/>
      </rPr>
      <t>Cantidad:7</t>
    </r>
  </si>
  <si>
    <t>Size 37-80</t>
  </si>
  <si>
    <t>Ck.28204</t>
  </si>
  <si>
    <t>FM05-02785</t>
  </si>
  <si>
    <t>FM05-02605</t>
  </si>
  <si>
    <t>FM05-02695</t>
  </si>
  <si>
    <t>FM05-02615</t>
  </si>
  <si>
    <t>FM05-02965</t>
  </si>
  <si>
    <t>FM05-02784</t>
  </si>
  <si>
    <t>FM05-02964</t>
  </si>
  <si>
    <t>FM05-02963</t>
  </si>
  <si>
    <t>FM05-02873</t>
  </si>
  <si>
    <t>FM05-02603</t>
  </si>
  <si>
    <t>FM05-02874</t>
  </si>
  <si>
    <t>FM05-02614</t>
  </si>
  <si>
    <t>FM05-02864</t>
  </si>
  <si>
    <t>FM05-02869</t>
  </si>
  <si>
    <t>FM05-2604</t>
  </si>
  <si>
    <t>FM05-02846</t>
  </si>
  <si>
    <t>FM05-02875</t>
  </si>
  <si>
    <t>FM05-02848</t>
  </si>
  <si>
    <t>FM05-02693</t>
  </si>
  <si>
    <t>FN05-02694</t>
  </si>
  <si>
    <t>FM05-02868</t>
  </si>
  <si>
    <t>FM05-02867</t>
  </si>
  <si>
    <t>FM05-02866</t>
  </si>
  <si>
    <t>Computadora de Escritorio Dell Plus 7020/Monitor Dell Modelo E2222H</t>
  </si>
  <si>
    <t>62X0B14</t>
  </si>
  <si>
    <t>6LF0B14</t>
  </si>
  <si>
    <t>6DL1B14</t>
  </si>
  <si>
    <t>6DJ1B14</t>
  </si>
  <si>
    <t>6MB1B14</t>
  </si>
  <si>
    <t>6FG0B14</t>
  </si>
  <si>
    <t>6LDZ914</t>
  </si>
  <si>
    <t>6DRZ914</t>
  </si>
  <si>
    <t>6DPZ914</t>
  </si>
  <si>
    <t>6DHZ914</t>
  </si>
  <si>
    <t>69H0B14</t>
  </si>
  <si>
    <t>6MN0B14</t>
  </si>
  <si>
    <t>69B1B14</t>
  </si>
  <si>
    <t>6LJ1B14</t>
  </si>
  <si>
    <t>63XZ914</t>
  </si>
  <si>
    <t>6LD1B14</t>
  </si>
  <si>
    <t>6LFY914</t>
  </si>
  <si>
    <t>6LDY914</t>
  </si>
  <si>
    <t>63YZ914</t>
  </si>
  <si>
    <t>5VGZ914</t>
  </si>
  <si>
    <t>LAPTOP DELL LATITUDE 5550</t>
  </si>
  <si>
    <t>38TYJ34</t>
  </si>
  <si>
    <t>18TYJ34</t>
  </si>
  <si>
    <t>28TYJ34</t>
  </si>
  <si>
    <t>Ck.28197</t>
  </si>
  <si>
    <t>FM05-02822</t>
  </si>
  <si>
    <t>FM05-02820</t>
  </si>
  <si>
    <t>FM05-02818</t>
  </si>
  <si>
    <t>FM05-02851</t>
  </si>
  <si>
    <t>FM05-02865</t>
  </si>
  <si>
    <t>FM05-02819</t>
  </si>
  <si>
    <t>FM05-02855</t>
  </si>
  <si>
    <t xml:space="preserve">TV531 TELEVISOR LG 55 SMART </t>
  </si>
  <si>
    <t>TV531 TELEVISOR LG 55 SMART, MODELO: UR73</t>
  </si>
  <si>
    <t>0597831003856CWPCKH</t>
  </si>
  <si>
    <t>0597831003860CWPCKH</t>
  </si>
  <si>
    <t>0597831003943CWPCKH</t>
  </si>
  <si>
    <t>0597831003862CWPCKH</t>
  </si>
  <si>
    <t>0597831003861CWPCKH</t>
  </si>
  <si>
    <t>0597831003857CWPCKH</t>
  </si>
  <si>
    <t>0597831003858CWPCKH</t>
  </si>
  <si>
    <t xml:space="preserve">No Registrado en el  Siab </t>
  </si>
  <si>
    <t>Ck.28158</t>
  </si>
  <si>
    <t>FM05-02899</t>
  </si>
  <si>
    <t>FM05-02809</t>
  </si>
  <si>
    <t>FM05-02827</t>
  </si>
  <si>
    <t>FM05-02813</t>
  </si>
  <si>
    <t>FM05-02870</t>
  </si>
  <si>
    <t>IMPRESORA MULTIFUNCIONAL A COLOR HP M182NW</t>
  </si>
  <si>
    <t>VNB3K53738</t>
  </si>
  <si>
    <t>VNB3K54930</t>
  </si>
  <si>
    <t>VNB3K52807</t>
  </si>
  <si>
    <t>VNB3K52799</t>
  </si>
  <si>
    <t>VNB3K52812</t>
  </si>
  <si>
    <t>Transf.525</t>
  </si>
  <si>
    <r>
      <t xml:space="preserve">Estanteria Tipo Racks, </t>
    </r>
    <r>
      <rPr>
        <b/>
        <sz val="11"/>
        <color theme="1"/>
        <rFont val="Calibri"/>
        <family val="2"/>
        <scheme val="minor"/>
      </rPr>
      <t>Cantidad:10</t>
    </r>
  </si>
  <si>
    <t>Importadora y Suplidore VPS,S.R.L</t>
  </si>
  <si>
    <t>Programa de Medicamentos Esenciales y  Central de Apoyo Logistico (PROMESECAL )</t>
  </si>
  <si>
    <t>Lib.115</t>
  </si>
  <si>
    <t>Lib. 1185</t>
  </si>
  <si>
    <t xml:space="preserve">No. De Comodatos </t>
  </si>
  <si>
    <t xml:space="preserve">Santo Domingo </t>
  </si>
  <si>
    <t>No.0011</t>
  </si>
  <si>
    <t>Trituradora de papel Royal 126X,12 Hojas,Corte Cruzado ,Tritura Grapa y TC .</t>
  </si>
  <si>
    <t xml:space="preserve">Santo Domingo el  13 </t>
  </si>
  <si>
    <t xml:space="preserve">Almacen No.13 Servicios Nacional de Salud </t>
  </si>
  <si>
    <t xml:space="preserve">MOVIMIENTO DE MUJERES UNIDAS (MODEMU)  ANA MARIA DE LA ROSA </t>
  </si>
  <si>
    <t>Santo Domingo</t>
  </si>
  <si>
    <t>CECOMSA, S.R.L</t>
  </si>
  <si>
    <t>GOBDOM-02075</t>
  </si>
  <si>
    <t>Chasis: KMJHG17BPSC505238</t>
  </si>
  <si>
    <t xml:space="preserve">Transportacion </t>
  </si>
  <si>
    <t>Lib.1751</t>
  </si>
  <si>
    <t>Lib.1393</t>
  </si>
  <si>
    <t>GOBDOM-02076</t>
  </si>
  <si>
    <t xml:space="preserve">Camioneta Nissan Frontier 4x4 doble cabina Año:2025 </t>
  </si>
  <si>
    <t>GOBDOM-02-02089</t>
  </si>
  <si>
    <t>Lib.1207-1</t>
  </si>
  <si>
    <t>GOBDOM-02-02090</t>
  </si>
  <si>
    <t xml:space="preserve">Aire Acondicionado de 12,000 BTU Inverter, Marca:GREE EFICIENCIA </t>
  </si>
  <si>
    <t xml:space="preserve">Aire Acondicionado de 36,000 BTU Inverter Marca: CONFORT TIME </t>
  </si>
  <si>
    <t>Lib.1522</t>
  </si>
  <si>
    <t>GOBDOM-TEL-01</t>
  </si>
  <si>
    <t>GOBDOM-TEL-02</t>
  </si>
  <si>
    <t>GOBDOM-TEL-03</t>
  </si>
  <si>
    <t>GOBDOM-TEL-04</t>
  </si>
  <si>
    <t>GOBDOM-TEL-05</t>
  </si>
  <si>
    <t>GOBDOM-TEL-06</t>
  </si>
  <si>
    <t>GOBDOM-TEL-07</t>
  </si>
  <si>
    <t>GOBDOM-TEL-08</t>
  </si>
  <si>
    <t>GOBDOM-TEL-09</t>
  </si>
  <si>
    <t>GOBDOM-TEL-10</t>
  </si>
  <si>
    <t>GOBDOM-TEL-11</t>
  </si>
  <si>
    <t>GOBDOM-TEL-12</t>
  </si>
  <si>
    <t>GOBDOM-TEL-13</t>
  </si>
  <si>
    <t>GOBDOM-TEL-14</t>
  </si>
  <si>
    <t>GOBDOM-TEL-15</t>
  </si>
  <si>
    <t>GOBDOM-TEL-16</t>
  </si>
  <si>
    <t>GOBDOM-TEL-17</t>
  </si>
  <si>
    <t>GOBDOM-TEL-18</t>
  </si>
  <si>
    <t>GOBDOM-TEL-19</t>
  </si>
  <si>
    <t>GOBDOM-TEL-20</t>
  </si>
  <si>
    <t>GOBDOM-TEL-21</t>
  </si>
  <si>
    <t>GOBDOM-TEL-22</t>
  </si>
  <si>
    <t>GOBDOM-TEL-23</t>
  </si>
  <si>
    <t>GOBDOM-TEL-24</t>
  </si>
  <si>
    <t>GOBDOM-TEL-25</t>
  </si>
  <si>
    <t>GOBDOM-TEL-26</t>
  </si>
  <si>
    <t>GOBDOM-TEL-27</t>
  </si>
  <si>
    <t>GOBDOM-TEL-28</t>
  </si>
  <si>
    <t>GOBDOM-TEL-29</t>
  </si>
  <si>
    <t>GOBDOM-TEL-30</t>
  </si>
  <si>
    <t>GOBDOM-TEL-31</t>
  </si>
  <si>
    <t>GOBDOM-TEL-32</t>
  </si>
  <si>
    <t>GOBDOM-TEL-33</t>
  </si>
  <si>
    <t>GOBDOM-TEL-34</t>
  </si>
  <si>
    <t>GOBDOM-TEL-35</t>
  </si>
  <si>
    <t>GOBDOM-TEL-36</t>
  </si>
  <si>
    <t>GOBDOM-TEL-37</t>
  </si>
  <si>
    <t>GOBDOM-TEL-38</t>
  </si>
  <si>
    <t>GOBDOM-TEL-39</t>
  </si>
  <si>
    <t>GOBDOM-TEL-40</t>
  </si>
  <si>
    <t>GOBDOM-TEL-41</t>
  </si>
  <si>
    <t>GOBDOM-TEL-42</t>
  </si>
  <si>
    <t>GOBDOM-TEL-43</t>
  </si>
  <si>
    <t>GOBDOM-TEL-44</t>
  </si>
  <si>
    <t>GOBDOM-TEL-45</t>
  </si>
  <si>
    <t>GOBDOM-TEL-46</t>
  </si>
  <si>
    <t>GOBDOM-TEL-47</t>
  </si>
  <si>
    <t>GOBDOM-TEL-48</t>
  </si>
  <si>
    <t>GOBDOM-TEL-49</t>
  </si>
  <si>
    <t>GOBDOM-TEL-50</t>
  </si>
  <si>
    <t>Telefono IP YEALINK SIP-T43U, 12SIP</t>
  </si>
  <si>
    <t>GOBDOM-02-02091</t>
  </si>
  <si>
    <t>Lib.1872-1</t>
  </si>
  <si>
    <t>GOBDOM-02-02092</t>
  </si>
  <si>
    <t>GOBDOM-02-02093</t>
  </si>
  <si>
    <t>GOBDOM-02-02094</t>
  </si>
  <si>
    <t>GOBDOM-02-02095</t>
  </si>
  <si>
    <t>GOBDOM-02-02096</t>
  </si>
  <si>
    <t>SILLON EJECUTIVO ESPALDAR EN MALLA,ASIENTO EN TELA CON CABEZAL Y SOPORTE LUMBAR MOD. SARAI</t>
  </si>
  <si>
    <t>ARCHIVO MODULAR EN MENTAL DE 3 GAVETAS COLOR: GRIS, CON LLAAVE Y CON RUEDA</t>
  </si>
  <si>
    <t>Lib.874-1</t>
  </si>
  <si>
    <t>GOBDOM-02-02097</t>
  </si>
  <si>
    <t>GOBDOM-02-02098</t>
  </si>
  <si>
    <t>GOBDOM-02-02099</t>
  </si>
  <si>
    <t>GOBDOM-02-02100</t>
  </si>
  <si>
    <t>GOBDOM-02-02101</t>
  </si>
  <si>
    <t>GOBDOM-02-02102</t>
  </si>
  <si>
    <t>GOBDOM-02-02104</t>
  </si>
  <si>
    <t>GOBDOM-02-02105</t>
  </si>
  <si>
    <t>GOBDOM-02-02106</t>
  </si>
  <si>
    <t>GOBDOM-02-02107</t>
  </si>
  <si>
    <t>GOBDOM-02-02108</t>
  </si>
  <si>
    <t>S-3149424018605989</t>
  </si>
  <si>
    <t>Lib.1524-1</t>
  </si>
  <si>
    <t>MXBCS66119</t>
  </si>
  <si>
    <t>MXBCS6613H</t>
  </si>
  <si>
    <t>MXBCS6611C</t>
  </si>
  <si>
    <t>MXBCS6611F</t>
  </si>
  <si>
    <t>MXBCS66152</t>
  </si>
  <si>
    <t>MXBCS850QY</t>
  </si>
  <si>
    <t>GOBDOM-02-02109</t>
  </si>
  <si>
    <t>GOBDOM-02-02110</t>
  </si>
  <si>
    <t>GOBDOM-02-02111</t>
  </si>
  <si>
    <t>GOBDOM-02-02112</t>
  </si>
  <si>
    <t>GOBDOM-02-02113</t>
  </si>
  <si>
    <t>GOBDOM-02-02114</t>
  </si>
  <si>
    <t>GOBDOM-02-02115</t>
  </si>
  <si>
    <t>GOBDOM-02-02116</t>
  </si>
  <si>
    <t>GOBDOM-02-02117</t>
  </si>
  <si>
    <t>GOBDOM-02-02118</t>
  </si>
  <si>
    <t>GOBDOM-02-02119</t>
  </si>
  <si>
    <t>GOBDOM-02-02120</t>
  </si>
  <si>
    <t>Lib.1408</t>
  </si>
  <si>
    <t>GOBDOM-02103</t>
  </si>
  <si>
    <t xml:space="preserve">Condensador de 5 Toneladas, amrca Comfort Time </t>
  </si>
  <si>
    <t>GOBDOM-BOTON -01-GOBDOM-BOTON-28</t>
  </si>
  <si>
    <t xml:space="preserve">BOTON DE SALIDA ZK SIN TOQUE 2X4 RELAY PROXIMIDAD, CANTIDAD:28 </t>
  </si>
  <si>
    <t>GOBDOM-POWER -01-HASTA -GOBDOM-06</t>
  </si>
  <si>
    <t>POWER SUPPLY 18CH 12V 30AMP UL, CANTIDAD:6</t>
  </si>
  <si>
    <t>ROLLO DE CABLE 22/4 SOL 500 PIE, CANTIDAD:10</t>
  </si>
  <si>
    <t>CABLE 22/2 STRANDED 500FT KEYSTONE ZIP ,CANTIDAD:7</t>
  </si>
  <si>
    <t xml:space="preserve">LAPTOP DELL LATITUDE 3520 15.6,INCLUYE:MAUSE,BULTO NOTEBOOK </t>
  </si>
  <si>
    <t>LAPTOP DELL LATITUDE 5530 15.6 ,INCLUYE: ACCESORIOS: TECLADO,MAUSE,BULTO DE NOTEBOOK.</t>
  </si>
  <si>
    <t>FL BETANCES &amp; ASOCIADOS S.R.L.</t>
  </si>
  <si>
    <t>Lib.1662-1</t>
  </si>
  <si>
    <t>Ck.28288</t>
  </si>
  <si>
    <t>MAGNA MOTORS,S.A.</t>
  </si>
  <si>
    <t>FRIOMAX SRL.</t>
  </si>
  <si>
    <t>Comppu -office</t>
  </si>
  <si>
    <t>Cerradura 600 LB Electromecanica . Cantidad:28</t>
  </si>
  <si>
    <t>Lector de Huellas y Targetas ZKTECO. Cantidad:28</t>
  </si>
  <si>
    <t>GOBDOM-LHYT-01 hasta GOBDOM-LHYT-28</t>
  </si>
  <si>
    <t>GOBDOM-CAP-01 hasta GOBDOM-CAP-06</t>
  </si>
  <si>
    <t>GOBDOM-CEE-01 hasta GOBDOM-CEE-01</t>
  </si>
  <si>
    <t>Ck.28289</t>
  </si>
  <si>
    <t>Ck.28290</t>
  </si>
  <si>
    <t>Ck.28291</t>
  </si>
  <si>
    <t>Ck.28292</t>
  </si>
  <si>
    <t>Ck.28293</t>
  </si>
  <si>
    <t>Ck.28294</t>
  </si>
  <si>
    <t>Ck.28295</t>
  </si>
  <si>
    <t>Ck.28296</t>
  </si>
  <si>
    <t>Ck.28297</t>
  </si>
  <si>
    <t>Ck.28298</t>
  </si>
  <si>
    <t>Ck.28299</t>
  </si>
  <si>
    <t>Ck.28300</t>
  </si>
  <si>
    <t>Ck.28301</t>
  </si>
  <si>
    <t>Ck.28302</t>
  </si>
  <si>
    <t>Ck.28303</t>
  </si>
  <si>
    <t>Ck.28304</t>
  </si>
  <si>
    <t>Ck.28305</t>
  </si>
  <si>
    <t>Ck.28306</t>
  </si>
  <si>
    <t>Ck.28307</t>
  </si>
  <si>
    <t>Ck.28308</t>
  </si>
  <si>
    <t>Ck.28309</t>
  </si>
  <si>
    <t>Ck.28310</t>
  </si>
  <si>
    <t>Ck.28311</t>
  </si>
  <si>
    <t>Ck.28312</t>
  </si>
  <si>
    <t>Ck.28313</t>
  </si>
  <si>
    <t>Ck.28314</t>
  </si>
  <si>
    <t>Ck.28315</t>
  </si>
  <si>
    <t>Ck.28316</t>
  </si>
  <si>
    <t>Ck.28317</t>
  </si>
  <si>
    <t>Ck.28318</t>
  </si>
  <si>
    <t>Ck.28319</t>
  </si>
  <si>
    <t>Ck.28320</t>
  </si>
  <si>
    <t>Ck.28321</t>
  </si>
  <si>
    <t>Ck.28322</t>
  </si>
  <si>
    <t>Ck.28323</t>
  </si>
  <si>
    <t>Ck.28324</t>
  </si>
  <si>
    <t>Ck.28325</t>
  </si>
  <si>
    <t>Ck.28326</t>
  </si>
  <si>
    <t>Ck.28327</t>
  </si>
  <si>
    <t>Ck.28328</t>
  </si>
  <si>
    <t>Ck.28329</t>
  </si>
  <si>
    <t>Ck.28330</t>
  </si>
  <si>
    <t>Ck.28331</t>
  </si>
  <si>
    <t>Ck.28332</t>
  </si>
  <si>
    <t>Ck.28333</t>
  </si>
  <si>
    <t>Ck.28334</t>
  </si>
  <si>
    <t>Ck.28335</t>
  </si>
  <si>
    <t>Ck.28336</t>
  </si>
  <si>
    <t>Ck.28337</t>
  </si>
  <si>
    <t>Ck.28338</t>
  </si>
  <si>
    <t>Ck.28339</t>
  </si>
  <si>
    <t>Ck.28340</t>
  </si>
  <si>
    <t>Ck.28341</t>
  </si>
  <si>
    <t>Ck.28342</t>
  </si>
  <si>
    <t>Ck.28343</t>
  </si>
  <si>
    <t>Ck.28344</t>
  </si>
  <si>
    <t>Ck.28345</t>
  </si>
  <si>
    <t>Ck.28346</t>
  </si>
  <si>
    <t>Ck.28347</t>
  </si>
  <si>
    <t>Ck.28348</t>
  </si>
  <si>
    <t>Ck.28349</t>
  </si>
  <si>
    <t>Ck.28350</t>
  </si>
  <si>
    <t>Ck.28351</t>
  </si>
  <si>
    <t>Ck.28352</t>
  </si>
  <si>
    <t>Ck.28353</t>
  </si>
  <si>
    <t>Ck.28354</t>
  </si>
  <si>
    <t>Ck.28355</t>
  </si>
  <si>
    <t>Ck.28356</t>
  </si>
  <si>
    <t>Ck.28357</t>
  </si>
  <si>
    <t>Ck.28358</t>
  </si>
  <si>
    <t>Ck.28359</t>
  </si>
  <si>
    <t>Ck.28360</t>
  </si>
  <si>
    <t>Ck.28361</t>
  </si>
  <si>
    <t>Ck.28362</t>
  </si>
  <si>
    <t>Ck.28363</t>
  </si>
  <si>
    <t>UPS FORZA NT-511 500VA /250 WATTS 6 ENTRADAS,120V.</t>
  </si>
  <si>
    <t>FM-05-UPS- 01 Codigo Siab/</t>
  </si>
  <si>
    <t xml:space="preserve">ALMACEN ALMADELA </t>
  </si>
  <si>
    <t xml:space="preserve">KILOMERO 8  1/2  LAS AMERICA Santo Domingo </t>
  </si>
  <si>
    <r>
      <t xml:space="preserve">CONTROL DE ACCESO PANEL INBIO460 PACKAGE B, </t>
    </r>
    <r>
      <rPr>
        <b/>
        <sz val="10"/>
        <color theme="1"/>
        <rFont val="Arial"/>
        <family val="2"/>
      </rPr>
      <t>Cantidad:6</t>
    </r>
  </si>
  <si>
    <t xml:space="preserve">NO REGISTRADO EN EL SIAB  </t>
  </si>
  <si>
    <t>Dept Administrativo Financiero/ Miriam Baez</t>
  </si>
  <si>
    <t xml:space="preserve">Deptamento de Compras /Damares Mesa </t>
  </si>
  <si>
    <t xml:space="preserve">Gestion De Servicio Salud/ Maria Castillo </t>
  </si>
  <si>
    <t>Planificacion / Francia</t>
  </si>
  <si>
    <t xml:space="preserve">Impresora Multinfucional HP  a Color,Laser Jet Interprise 5800DN/ Disco duro externo SSD Portatil </t>
  </si>
  <si>
    <t xml:space="preserve">SALON DE CONFERENCIA </t>
  </si>
  <si>
    <t>Lib.1687</t>
  </si>
  <si>
    <t>GOBDOM-02-02122</t>
  </si>
  <si>
    <t>GOBDOM-02-02121</t>
  </si>
  <si>
    <t>GOBDOM-02-02123</t>
  </si>
  <si>
    <t>GOBDOM-02-02124</t>
  </si>
  <si>
    <t>DRON DJI MAVIC 3 PRO CON CONTROL REMOTO DJI</t>
  </si>
  <si>
    <t>1581F67QE23K00A00CU</t>
  </si>
  <si>
    <t>20022670/4960759902191</t>
  </si>
  <si>
    <t xml:space="preserve">Sistema de Micrófonos Inalambrico Digital Compacto Para Dos Personas Rode Wireless Go /Grabador color:Negro </t>
  </si>
  <si>
    <t>HH0678579</t>
  </si>
  <si>
    <t>HH0678626</t>
  </si>
  <si>
    <t>CAMARA SIN ESPEJO NIKON  NIKKOR Z-2470 MM/ LENTE NIKON  NIKKOR /ADAPTADOR DE MONTURA  NIKON FTZ II/ESTABILIZADOR DE CARDAN POTATIL/FLASH GODOX V1 Y DISPARO DE FLASH /TARJETA DE MEMORIA EXTREME .</t>
  </si>
  <si>
    <t xml:space="preserve">RAMIREZ &amp; MOJICA </t>
  </si>
  <si>
    <t xml:space="preserve">Departamento Financiero /Ingri Melo </t>
  </si>
  <si>
    <t xml:space="preserve">Prensa y Relaciones Públicas/ Vianco </t>
  </si>
  <si>
    <t xml:space="preserve">Control interno </t>
  </si>
  <si>
    <t>540P26970144260100057</t>
  </si>
  <si>
    <t>CK.28316</t>
  </si>
  <si>
    <t>FM05-Motor-01</t>
  </si>
  <si>
    <t xml:space="preserve">Motocicleta Haojue Año 2025  EX125, Color:Azul </t>
  </si>
  <si>
    <t>FM05-Motor-02</t>
  </si>
  <si>
    <t>FM05-Motor-03</t>
  </si>
  <si>
    <t>FM05-Motor-04</t>
  </si>
  <si>
    <t>FM05-Motor-05</t>
  </si>
  <si>
    <t>FM05-Motor-06</t>
  </si>
  <si>
    <t>FM05-Motor-07</t>
  </si>
  <si>
    <t>FM05-Motor-08</t>
  </si>
  <si>
    <t>FM05-Motor-09</t>
  </si>
  <si>
    <t>FM05-Motor-10</t>
  </si>
  <si>
    <t>FM05-Motor-11</t>
  </si>
  <si>
    <t>FM05-Motor-12</t>
  </si>
  <si>
    <t>FM05-Motor-13</t>
  </si>
  <si>
    <t>Motocicleta Haojue Año 2025  EX125, Color:Rojo</t>
  </si>
  <si>
    <t xml:space="preserve">Motocicleta Haojue Año 2025  EX125, Color:Negro </t>
  </si>
  <si>
    <t xml:space="preserve">Avant Auto </t>
  </si>
  <si>
    <t>08/01/2025-11/01/2025</t>
  </si>
  <si>
    <t>CK.28317</t>
  </si>
  <si>
    <t>FM05-03009</t>
  </si>
  <si>
    <t>FM05-03010</t>
  </si>
  <si>
    <t>FM05-03011</t>
  </si>
  <si>
    <t>FM05-03012</t>
  </si>
  <si>
    <t>FM05-03013</t>
  </si>
  <si>
    <t>FM05-03014</t>
  </si>
  <si>
    <t>FM05-03015</t>
  </si>
  <si>
    <t>FM05-03016</t>
  </si>
  <si>
    <t>FM05-03017</t>
  </si>
  <si>
    <t>FM05-03018</t>
  </si>
  <si>
    <t>FM05-03019</t>
  </si>
  <si>
    <t>FM05-03020</t>
  </si>
  <si>
    <t>FM05-03021</t>
  </si>
  <si>
    <t>FM05-03022</t>
  </si>
  <si>
    <t>FM05-03023</t>
  </si>
  <si>
    <t>FM05-03024</t>
  </si>
  <si>
    <t>FM05-03025</t>
  </si>
  <si>
    <t>FM05-03026</t>
  </si>
  <si>
    <t>FM05-03027</t>
  </si>
  <si>
    <t>FM05-03028</t>
  </si>
  <si>
    <t>FM05-03029</t>
  </si>
  <si>
    <t>FM05-03030</t>
  </si>
  <si>
    <t>FM05-03031</t>
  </si>
  <si>
    <t>FM05-03032</t>
  </si>
  <si>
    <t>FM05-03033</t>
  </si>
  <si>
    <t>FM05-03034</t>
  </si>
  <si>
    <t>FM05-03035</t>
  </si>
  <si>
    <t>FM05-03036</t>
  </si>
  <si>
    <t>FM05-03037</t>
  </si>
  <si>
    <t>FM05-03038</t>
  </si>
  <si>
    <t>FM05-03039</t>
  </si>
  <si>
    <t>FM05-03040</t>
  </si>
  <si>
    <t>FM05-03041</t>
  </si>
  <si>
    <t>FM05-03042</t>
  </si>
  <si>
    <t>FM05-03043</t>
  </si>
  <si>
    <t>FM05-03044</t>
  </si>
  <si>
    <t>FM05-03045</t>
  </si>
  <si>
    <t>FM05-03046</t>
  </si>
  <si>
    <t>FM05-03047</t>
  </si>
  <si>
    <t>FM05-03048</t>
  </si>
  <si>
    <t>FM05-03049</t>
  </si>
  <si>
    <t>FM05-03050</t>
  </si>
  <si>
    <t>FM05-03051</t>
  </si>
  <si>
    <t>FM05-03052</t>
  </si>
  <si>
    <t>FM05-03053</t>
  </si>
  <si>
    <t>FM05-03054</t>
  </si>
  <si>
    <t>FM05-03055</t>
  </si>
  <si>
    <t>FM05-03056</t>
  </si>
  <si>
    <t>FM05-03057</t>
  </si>
  <si>
    <t>FM05-03058</t>
  </si>
  <si>
    <t>FM05-03059</t>
  </si>
  <si>
    <t>FM05-03060</t>
  </si>
  <si>
    <t>FM05-03061</t>
  </si>
  <si>
    <t>FM05-03062</t>
  </si>
  <si>
    <t>FM05-03063</t>
  </si>
  <si>
    <t>FM05-03064</t>
  </si>
  <si>
    <t>FM05-03065</t>
  </si>
  <si>
    <t>FM05-03066</t>
  </si>
  <si>
    <t>FM05-03067</t>
  </si>
  <si>
    <t>FM05-03068</t>
  </si>
  <si>
    <t>FM05-03069</t>
  </si>
  <si>
    <t>FM05-03070</t>
  </si>
  <si>
    <t>FM05-03071</t>
  </si>
  <si>
    <t>FM05-03072</t>
  </si>
  <si>
    <t>FM05-03073</t>
  </si>
  <si>
    <t>FM05-03074</t>
  </si>
  <si>
    <t>FM05-03075</t>
  </si>
  <si>
    <t>FM05-03076</t>
  </si>
  <si>
    <t>FM05-03077</t>
  </si>
  <si>
    <t>FM05-03078</t>
  </si>
  <si>
    <t>FM05-03079</t>
  </si>
  <si>
    <t>FM05-03080</t>
  </si>
  <si>
    <t>FM05-03081</t>
  </si>
  <si>
    <t>FM05-03082</t>
  </si>
  <si>
    <t>COMPUTADORA DELL OPTIPLEX 7020 PLUS,MONITOR FLAT DELL 20 LCD, INCLUYE: MAUSE Y TECLADO.</t>
  </si>
  <si>
    <t>FM05-03083</t>
  </si>
  <si>
    <t>FM05-03084</t>
  </si>
  <si>
    <t>FM05-03085</t>
  </si>
  <si>
    <t>FM05-03086</t>
  </si>
  <si>
    <t>FM05-03087</t>
  </si>
  <si>
    <t>FM05-03088</t>
  </si>
  <si>
    <t>FM05-03089</t>
  </si>
  <si>
    <t>FM05-03090</t>
  </si>
  <si>
    <t>FM05-03091</t>
  </si>
  <si>
    <t>ESTANTERIA CONVENCIONAR TIPO RACKS</t>
  </si>
  <si>
    <t>FM05-03092</t>
  </si>
  <si>
    <t>FM05-03093</t>
  </si>
  <si>
    <t>FM05-03094</t>
  </si>
  <si>
    <t>FM05-03095</t>
  </si>
  <si>
    <t>FM05-03096</t>
  </si>
  <si>
    <t>FM05-03097</t>
  </si>
  <si>
    <t>FM05-03098</t>
  </si>
  <si>
    <t>FM05-03099</t>
  </si>
  <si>
    <t>FM05-03100</t>
  </si>
  <si>
    <t>FM05-03101</t>
  </si>
  <si>
    <t>FM05-03102</t>
  </si>
  <si>
    <t>FM05-03103</t>
  </si>
  <si>
    <t>FM05-03104</t>
  </si>
  <si>
    <t>FM05-03105</t>
  </si>
  <si>
    <t>FM05-03106</t>
  </si>
  <si>
    <t>FM05-03107</t>
  </si>
  <si>
    <t>FM05-03108</t>
  </si>
  <si>
    <t>FM05-03109</t>
  </si>
  <si>
    <t>FM05-03110</t>
  </si>
  <si>
    <t>FM05-03111</t>
  </si>
  <si>
    <t>FM05-03112</t>
  </si>
  <si>
    <t>FM05-03113</t>
  </si>
  <si>
    <t>FM05-03114</t>
  </si>
  <si>
    <t>FM05-03115</t>
  </si>
  <si>
    <t>FM05-03116</t>
  </si>
  <si>
    <t>FM05-03117</t>
  </si>
  <si>
    <t>FM05-03118</t>
  </si>
  <si>
    <t>FM05-03119</t>
  </si>
  <si>
    <t>FM05-03120</t>
  </si>
  <si>
    <t>TRANF.3326</t>
  </si>
  <si>
    <t>Diciembre ,2024</t>
  </si>
  <si>
    <t>Diciembre,2024</t>
  </si>
  <si>
    <r>
      <rPr>
        <b/>
        <sz val="12"/>
        <color indexed="10"/>
        <rFont val="Arial"/>
        <family val="2"/>
      </rPr>
      <t xml:space="preserve">          Nota _1</t>
    </r>
    <r>
      <rPr>
        <sz val="12"/>
        <color theme="1"/>
        <rFont val="Calibri"/>
        <family val="2"/>
        <scheme val="minor"/>
      </rPr>
      <t>:</t>
    </r>
    <r>
      <rPr>
        <sz val="12"/>
        <color indexed="56"/>
        <rFont val="Arial"/>
        <family val="2"/>
      </rPr>
      <t xml:space="preserve"> </t>
    </r>
    <r>
      <rPr>
        <b/>
        <sz val="12"/>
        <color indexed="56"/>
        <rFont val="Arial"/>
        <family val="2"/>
      </rPr>
      <t>Informe de los Activos Fijos Acumulado al 31 de Diciembre, 2024</t>
    </r>
  </si>
  <si>
    <t>Transf.848</t>
  </si>
  <si>
    <t>CATHAY GROUP, S.R.L.</t>
  </si>
  <si>
    <r>
      <t xml:space="preserve">CAMION FOTON </t>
    </r>
    <r>
      <rPr>
        <b/>
        <sz val="11"/>
        <color theme="1"/>
        <rFont val="Calibri"/>
        <family val="2"/>
        <scheme val="minor"/>
      </rPr>
      <t>MODELO</t>
    </r>
    <r>
      <rPr>
        <sz val="11"/>
        <color theme="1"/>
        <rFont val="Calibri"/>
        <family val="2"/>
        <scheme val="minor"/>
      </rPr>
      <t xml:space="preserve">:AUMARK TM, </t>
    </r>
    <r>
      <rPr>
        <b/>
        <sz val="11"/>
        <color theme="1"/>
        <rFont val="Calibri"/>
        <family val="2"/>
        <scheme val="minor"/>
      </rPr>
      <t>COLOR: BLANCO</t>
    </r>
  </si>
  <si>
    <t>LAboratorio Nacional Dr. Defillo</t>
  </si>
  <si>
    <t>DIR. ACCESO DE MEDICAMENTO DE ALTO COSTO</t>
  </si>
  <si>
    <t>LVAV2JBB9RE237940/PLACA:L508714</t>
  </si>
  <si>
    <t>LVAV2JBB9RE237941/L510636</t>
  </si>
  <si>
    <r>
      <rPr>
        <b/>
        <sz val="11"/>
        <color indexed="10"/>
        <rFont val="Arial"/>
        <family val="2"/>
      </rPr>
      <t xml:space="preserve">       Nota_1:</t>
    </r>
    <r>
      <rPr>
        <b/>
        <sz val="10"/>
        <color indexed="18"/>
        <rFont val="Arial"/>
        <family val="2"/>
      </rPr>
      <t xml:space="preserve"> Informe de Activos Fijos Acumulado al 31 de Diciembre, 2024.</t>
    </r>
  </si>
  <si>
    <r>
      <rPr>
        <b/>
        <sz val="10"/>
        <color indexed="10"/>
        <rFont val="Arial"/>
        <family val="2"/>
      </rPr>
      <t xml:space="preserve">        Nota_2:</t>
    </r>
    <r>
      <rPr>
        <b/>
        <sz val="10"/>
        <color indexed="18"/>
        <rFont val="Arial"/>
        <family val="2"/>
      </rPr>
      <t xml:space="preserve"> En los Años, 2003, 2004, 2007, 2010, 2011, 2016, 2018 , 2020,2021,2023 y 2024</t>
    </r>
  </si>
  <si>
    <r>
      <rPr>
        <b/>
        <sz val="10"/>
        <color indexed="10"/>
        <rFont val="Arial"/>
        <family val="2"/>
      </rPr>
      <t xml:space="preserve">         Nota_1:</t>
    </r>
    <r>
      <rPr>
        <b/>
        <sz val="10"/>
        <color indexed="18"/>
        <rFont val="Arial"/>
        <family val="2"/>
      </rPr>
      <t xml:space="preserve"> Informe de Activos Fijos Acumulado al 31 Diciembre, 2024.</t>
    </r>
  </si>
  <si>
    <r>
      <rPr>
        <b/>
        <sz val="10"/>
        <color indexed="10"/>
        <rFont val="Arial"/>
        <family val="2"/>
      </rPr>
      <t xml:space="preserve">     Nota_1:</t>
    </r>
    <r>
      <rPr>
        <b/>
        <sz val="10"/>
        <color indexed="18"/>
        <rFont val="Arial"/>
        <family val="2"/>
      </rPr>
      <t xml:space="preserve"> Informe de Activos Fijos Acumulado al 31 de Diciembre , 2024.</t>
    </r>
  </si>
  <si>
    <t>80Z8P14</t>
  </si>
  <si>
    <t>826BP14</t>
  </si>
  <si>
    <t>CZY8P14</t>
  </si>
  <si>
    <t>701BP14</t>
  </si>
  <si>
    <t>9VJ9P14</t>
  </si>
  <si>
    <t>7QX9P14</t>
  </si>
  <si>
    <t>2WH9P14</t>
  </si>
  <si>
    <t>2XHCP14</t>
  </si>
  <si>
    <t>J0Z8P14</t>
  </si>
  <si>
    <t>F01BP14</t>
  </si>
  <si>
    <t>2SXBP14</t>
  </si>
  <si>
    <t>FTJ9P14</t>
  </si>
  <si>
    <t>916BP14</t>
  </si>
  <si>
    <t>DQX9P14</t>
  </si>
  <si>
    <t>6VJ9P14</t>
  </si>
  <si>
    <t>GW0CP14</t>
  </si>
  <si>
    <t>JPX9P14</t>
  </si>
  <si>
    <t>HSJ9P14</t>
  </si>
  <si>
    <t>CQX9P14</t>
  </si>
  <si>
    <t>7ZB9P14</t>
  </si>
  <si>
    <t>6YB9P14</t>
  </si>
  <si>
    <t>6VTCP14</t>
  </si>
  <si>
    <t>FHR9P14</t>
  </si>
  <si>
    <t>F16BP14</t>
  </si>
  <si>
    <t>836BP14</t>
  </si>
  <si>
    <t>5KR9P14</t>
  </si>
  <si>
    <t>7X0CP14</t>
  </si>
  <si>
    <t>JX29P14</t>
  </si>
  <si>
    <t>GJN9P14</t>
  </si>
  <si>
    <t>7Z29P14</t>
  </si>
  <si>
    <t>4KR9P14</t>
  </si>
  <si>
    <t>GVTCP14</t>
  </si>
  <si>
    <t>601BP14</t>
  </si>
  <si>
    <t>2JR9P14</t>
  </si>
  <si>
    <t>6TJ9P14</t>
  </si>
  <si>
    <t>8XB9P14</t>
  </si>
  <si>
    <t>G0Z8P14</t>
  </si>
  <si>
    <t>1VTCP14</t>
  </si>
  <si>
    <t>C26BP14</t>
  </si>
  <si>
    <t>11F9P14</t>
  </si>
  <si>
    <t>7VH8P14</t>
  </si>
  <si>
    <t>1KN9P14</t>
  </si>
  <si>
    <t>1YB9P14</t>
  </si>
  <si>
    <t>JGR9P14</t>
  </si>
  <si>
    <t>41Z8P14</t>
  </si>
  <si>
    <t>B28CP14</t>
  </si>
  <si>
    <t>8QX9P14</t>
  </si>
  <si>
    <t>32F9P14</t>
  </si>
  <si>
    <t>BVTCP14</t>
  </si>
  <si>
    <t>CHR9P14</t>
  </si>
  <si>
    <t>2HR9P14</t>
  </si>
  <si>
    <t>FQX9P14</t>
  </si>
  <si>
    <t>H0Z8P14</t>
  </si>
  <si>
    <t>JWHCP14</t>
  </si>
  <si>
    <t>13F9P14</t>
  </si>
  <si>
    <t>918CP14</t>
  </si>
  <si>
    <t>H16BP14</t>
  </si>
  <si>
    <t>3RXBP14</t>
  </si>
  <si>
    <t>1VH8P14</t>
  </si>
  <si>
    <t>1Z29P14</t>
  </si>
  <si>
    <t>8TH9P14</t>
  </si>
  <si>
    <t>31TBP14</t>
  </si>
  <si>
    <t>7WTCP14</t>
  </si>
  <si>
    <t>5MN9P14</t>
  </si>
  <si>
    <t>H01BP14</t>
  </si>
  <si>
    <t>5SX9P14</t>
  </si>
  <si>
    <t>7WH9P14</t>
  </si>
  <si>
    <t>5WTCP14</t>
  </si>
  <si>
    <t>12F9P14</t>
  </si>
  <si>
    <t>DW0CP14</t>
  </si>
  <si>
    <t>9WH9P14</t>
  </si>
  <si>
    <t>5Z0BP14</t>
  </si>
  <si>
    <t>136BP14</t>
  </si>
  <si>
    <t>JTJ9P14</t>
  </si>
  <si>
    <t>3VTCP14</t>
  </si>
  <si>
    <t>81TBP14</t>
  </si>
  <si>
    <t>138CP14</t>
  </si>
  <si>
    <t>CZ0BP14</t>
  </si>
  <si>
    <t>50TB14</t>
  </si>
  <si>
    <t>D28CP14</t>
  </si>
  <si>
    <t>F2F9P14</t>
  </si>
  <si>
    <t>FW0CP14</t>
  </si>
  <si>
    <t xml:space="preserve">6/12/2023 Fecha de Factura </t>
  </si>
  <si>
    <r>
      <rPr>
        <b/>
        <sz val="11"/>
        <color indexed="10"/>
        <rFont val="Arial"/>
        <family val="2"/>
      </rPr>
      <t xml:space="preserve">  Nota_1:</t>
    </r>
    <r>
      <rPr>
        <b/>
        <sz val="10"/>
        <color indexed="18"/>
        <rFont val="Arial"/>
        <family val="2"/>
      </rPr>
      <t xml:space="preserve"> Informe de Activos Fijos Acumulado al 31 de Diciembre , 2024</t>
    </r>
  </si>
  <si>
    <r>
      <t xml:space="preserve">    </t>
    </r>
    <r>
      <rPr>
        <b/>
        <sz val="10"/>
        <rFont val="Arial"/>
        <family val="2"/>
      </rPr>
      <t>NO REGISTRADO EN EL SIAB</t>
    </r>
  </si>
  <si>
    <r>
      <t xml:space="preserve">  </t>
    </r>
    <r>
      <rPr>
        <b/>
        <sz val="10"/>
        <rFont val="Arial"/>
        <family val="2"/>
      </rPr>
      <t>NO REGISTRADO EN EL SIAB</t>
    </r>
  </si>
  <si>
    <r>
      <t xml:space="preserve">   </t>
    </r>
    <r>
      <rPr>
        <b/>
        <sz val="10"/>
        <rFont val="Arial"/>
        <family val="2"/>
      </rPr>
      <t>NO REGISTRADO EN EL SIAB</t>
    </r>
  </si>
  <si>
    <t>NO REGISTRADO EN EL SIAB</t>
  </si>
  <si>
    <t>FM-05-UPS- 02 Codigo Siab/</t>
  </si>
  <si>
    <t>FM-05-UPS- 03 Codigo Siab/</t>
  </si>
  <si>
    <t>FM-05-UPS- 04 Codigo Siab/</t>
  </si>
  <si>
    <t>FM-05-UPS- 05 Codigo Siab/</t>
  </si>
  <si>
    <t>FM-05-UPS- 06 Codigo Siab/</t>
  </si>
  <si>
    <t>FM-05-UPS- 07 Codigo Siab/</t>
  </si>
  <si>
    <t>FM-05-UPS- 08 Codigo Siab/</t>
  </si>
  <si>
    <t>FM-05-UPS- 09 Codigo Siab/</t>
  </si>
  <si>
    <t>FM-05-UPS- 10 Codigo Siab/</t>
  </si>
  <si>
    <t>FM-05-UPS- 11 Codigo Siab/</t>
  </si>
  <si>
    <t>FM-05-UPS- 12 Codigo Siab/</t>
  </si>
  <si>
    <t>FM-05-UPS- 13 Codigo Siab/</t>
  </si>
  <si>
    <t>FM-05-UPS- 14 Codigo Siab/</t>
  </si>
  <si>
    <t>FM-05-UPS- 15 Codigo Siab/</t>
  </si>
  <si>
    <t>FM-05-UPS- 16 Codigo Siab/</t>
  </si>
  <si>
    <t>FM-05-UPS- 17 Codigo Siab/</t>
  </si>
  <si>
    <t>FM-05-UPS- 18 Codigo Siab/</t>
  </si>
  <si>
    <t>FM-05-UPS-19 Codigo Siab/</t>
  </si>
  <si>
    <t>FM-05-UPS- 20 Codigo Siab/</t>
  </si>
  <si>
    <t>FM-05-UPS- 21 Codigo Siab/</t>
  </si>
  <si>
    <t>FM-05-UPS- 22 Codigo Siab/</t>
  </si>
  <si>
    <t>FM-05-UPS- 23 Codigo Siab/</t>
  </si>
  <si>
    <t>FM-05-UPS- 24 Codigo Siab/</t>
  </si>
  <si>
    <t>FM-05-UPS- 25 Codigo Siab/</t>
  </si>
  <si>
    <t>FM-05-UPS- 26 Codigo Siab/</t>
  </si>
  <si>
    <t>FM-05-UPS- 27 Codigo Siab/</t>
  </si>
  <si>
    <t>FM-05-UPS- 28 Codigo Siab/</t>
  </si>
  <si>
    <t>FM-05-UPS- 29 Codigo Siab/</t>
  </si>
  <si>
    <t>FM-05-UPS- 30 Codigo Siab/</t>
  </si>
  <si>
    <t>FM-05-UPS- 31 Codigo Siab/</t>
  </si>
  <si>
    <t>FM-05-UPS- 32 Codigo Siab/</t>
  </si>
  <si>
    <t>FM-05-UPS- 33 Codigo Siab/</t>
  </si>
  <si>
    <t>FM-05-UPS- 34 Codigo Siab/</t>
  </si>
  <si>
    <t>FM-05-UPS- 35 Codigo Siab/</t>
  </si>
  <si>
    <t>FM-05-UPS- 36 Codigo Siab/</t>
  </si>
  <si>
    <t>FM-05-UPS- 37 Codigo Siab/</t>
  </si>
  <si>
    <t>FM-05-UPS- 38 Codigo Siab/</t>
  </si>
  <si>
    <t>FM-05-UPS- 39 Codigo Siab/</t>
  </si>
  <si>
    <t>FM-05-UPS- 40 Codigo Siab/</t>
  </si>
  <si>
    <t>FM-05-UPS- 41 Codigo Siab/</t>
  </si>
  <si>
    <t>FM-05-UPS- 42 Codigo Siab/</t>
  </si>
  <si>
    <t>FM-05-UPS- 43 Codigo Siab/</t>
  </si>
  <si>
    <t>FM-05-UPS- 44 Codigo Siab/</t>
  </si>
  <si>
    <t>FM-05-UPS- 45 Codigo Siab/</t>
  </si>
  <si>
    <t>FM-05-UPS- 46 Codigo Siab/</t>
  </si>
  <si>
    <t>FM-05-UPS- 47 Codigo Siab/</t>
  </si>
  <si>
    <t>FM-05-UPS- 48 Codigo Siab/</t>
  </si>
  <si>
    <t>FM-05-UPS- 49 Codigo Siab/</t>
  </si>
  <si>
    <t>FM-05-UPS- 50 Codigo Siab/</t>
  </si>
  <si>
    <t>FM-05-UPS- 51 Codigo Siab/</t>
  </si>
  <si>
    <t>FM-05-UPS- 52 Codigo Siab/</t>
  </si>
  <si>
    <t>FM-05-UPS- 53 Codigo Siab/</t>
  </si>
  <si>
    <t>FM-05-UPS- 54 Codigo Siab/</t>
  </si>
  <si>
    <t>FM-05-UPS- 56 Codigo Siab/</t>
  </si>
  <si>
    <t>FM-05-UPS-57 Codigo Siab/</t>
  </si>
  <si>
    <t>FM-05-UPS-58 Codigo Siab/</t>
  </si>
  <si>
    <t>FM-05-UPS-59 Codigo Siab/</t>
  </si>
  <si>
    <t>FM-05-UPS- 60 Codigo Siab/</t>
  </si>
  <si>
    <t>FM-05-UPS- 61 Codigo Siab/</t>
  </si>
  <si>
    <t>FM-05-UPS- 62 Codigo Siab/</t>
  </si>
  <si>
    <t>FM-05-UPS-63  Codigo Siab/</t>
  </si>
  <si>
    <t>FM-05-UPS- 64 Codigo Siab/</t>
  </si>
  <si>
    <t>FM-05-UPS- 65 Codigo Siab/</t>
  </si>
  <si>
    <t>FM-05-UPS- 66 Codigo Siab/</t>
  </si>
  <si>
    <t>FM-05-UPS- 67 Codigo Siab/</t>
  </si>
  <si>
    <t>FM-05-UPS- 68 Codigo Siab/</t>
  </si>
  <si>
    <t>FM-05-UPS- 69 Codigo Siab/</t>
  </si>
  <si>
    <t>FM-05-UPS- 70  Codigo Siab/</t>
  </si>
  <si>
    <t>FM-05-UPS- 71  Codigo Siab/</t>
  </si>
  <si>
    <t>FM-05-UPS- 72 Codigo Siab/</t>
  </si>
  <si>
    <t>FM-05-UPS- 73  Codigo Siab/</t>
  </si>
  <si>
    <t>FM-05-UPS- 74 Codigo Siab/</t>
  </si>
  <si>
    <t>FM-05-UPS- 75 Codigo Siab/</t>
  </si>
  <si>
    <t>FM-05-UPS- 76 Codigo Siab/</t>
  </si>
  <si>
    <t>FM-05-UPS- 77 Codigo Siab/</t>
  </si>
  <si>
    <t>FM-05-UPS- 78 Codigo Siab/</t>
  </si>
  <si>
    <t>FM-05-UPS- 79 Codigo Siab/</t>
  </si>
  <si>
    <t>FM-05-UPS- 80 Codigo Siab/</t>
  </si>
  <si>
    <t>FM-05-UPS- 81 Codigo Siab/</t>
  </si>
  <si>
    <t>FM-05-UPS- 82 Codigo Siab/</t>
  </si>
  <si>
    <t>FM-05-UPS- 55  Codigo Siab/</t>
  </si>
  <si>
    <t xml:space="preserve">donde encontramos Activos Dañado a los fines de ser descargado </t>
  </si>
  <si>
    <r>
      <t xml:space="preserve">Nota_3:  </t>
    </r>
    <r>
      <rPr>
        <b/>
        <sz val="12"/>
        <color theme="4" tint="-0.499984740745262"/>
        <rFont val="Arial"/>
        <family val="2"/>
      </rPr>
      <t>Realizamos  levantamiento en Octubre-Noviembre del año 2023</t>
    </r>
    <r>
      <rPr>
        <b/>
        <sz val="12"/>
        <color rgb="FFFF0000"/>
        <rFont val="Arial"/>
        <family val="2"/>
      </rPr>
      <t xml:space="preserve"> </t>
    </r>
  </si>
  <si>
    <t>ca</t>
  </si>
  <si>
    <t>Chasis:  1GNEV9KW6PJ214628</t>
  </si>
  <si>
    <t>Chasis:    3N6CD33B2ZK468735</t>
  </si>
  <si>
    <t>Autobus Hyundai County, Color:Blanco de 26 Pasajeros,Año:2025</t>
  </si>
  <si>
    <t>Jeepeta Toyota FOR Runner 4x4 Limited 2018. Color Negra.  Placa: EG02815</t>
  </si>
  <si>
    <t>Chasis: LC6PCJBJ3S0008836</t>
  </si>
  <si>
    <t>Chasis: LC6PCJBJ3S0008840</t>
  </si>
  <si>
    <t>Chasis: LC6PCJBJ3S0008843</t>
  </si>
  <si>
    <t>Chasis: LC6PCJBJ3S0008834</t>
  </si>
  <si>
    <t>Chasis: LC6PCJBJ3S0008845</t>
  </si>
  <si>
    <t>Chasis: LC6PCJBJ3S0008870</t>
  </si>
  <si>
    <t>Chasis: LC6PCJBJ3S0008865</t>
  </si>
  <si>
    <t>Chasis: LC6PCJBJ3S0008902</t>
  </si>
  <si>
    <t>Chasis: LC6PCJBJ3S0008901</t>
  </si>
  <si>
    <t>Chasis: LC6PCJBJ3S0008898</t>
  </si>
  <si>
    <t>Chasis: LC6PCJBJ3S0008896</t>
  </si>
  <si>
    <t>Chasis: Motocicleta Haojue Año 2025  EX125, Color:Rojo</t>
  </si>
  <si>
    <t>Chasis: LC6PCJBJ3S0008852</t>
  </si>
  <si>
    <t>Chasis: LC6PCJBJ3S0008877</t>
  </si>
  <si>
    <t>FM05-03121</t>
  </si>
  <si>
    <t xml:space="preserve">Archivo de metal (4 gavetas 81/2 x11 y 81/2 x 14) </t>
  </si>
  <si>
    <t>FM05-03122</t>
  </si>
  <si>
    <t>FM05-03123</t>
  </si>
  <si>
    <t>FM05-03124</t>
  </si>
  <si>
    <t>FM05-03125</t>
  </si>
  <si>
    <t>FM05-03126</t>
  </si>
  <si>
    <t>FM05-03127</t>
  </si>
  <si>
    <t>FM05-03128</t>
  </si>
  <si>
    <t>FM05-03129</t>
  </si>
  <si>
    <t>FM05-03130</t>
  </si>
  <si>
    <t>FM05-03131</t>
  </si>
  <si>
    <t>FM05-03132</t>
  </si>
  <si>
    <t>FM05-03133</t>
  </si>
  <si>
    <t>FM05-03134</t>
  </si>
  <si>
    <t>FM05-03135</t>
  </si>
  <si>
    <t>FM05-03136</t>
  </si>
  <si>
    <t>FM05-03137</t>
  </si>
  <si>
    <t>FM05-03138</t>
  </si>
  <si>
    <t>FM05-03139</t>
  </si>
  <si>
    <t>FM05-03140</t>
  </si>
  <si>
    <t>FM05-03141</t>
  </si>
  <si>
    <t>FM05-03142</t>
  </si>
  <si>
    <t>FM05-03143</t>
  </si>
  <si>
    <t>FM05-03144</t>
  </si>
  <si>
    <t>FM05-03145</t>
  </si>
  <si>
    <t>FM05-03146</t>
  </si>
  <si>
    <t>FM05-03147</t>
  </si>
  <si>
    <t>FM05-03148</t>
  </si>
  <si>
    <t>Escritorio con tope de color blanco W1000 d 600x 750mm</t>
  </si>
  <si>
    <t>CENTRIFUGA (Maquina de Centrifuha de Sobre Mesa de Laboratorio 8 X 0.1 fl.Oz/0.2 fl Oz/0.5 fl Oz. Tubos de prueba de capacidad,baja velocidad 500 - 500r/min.max 3074 xq RCF</t>
  </si>
  <si>
    <t>CAMILLAS (de Consultorio en Metal 58 X 26 X 33)</t>
  </si>
  <si>
    <t>ANAQUELES METALICO ( Capacidad  para 100 libras W900 x D450 x H1830).</t>
  </si>
  <si>
    <t>EXTINTOR (de 20 LB ABC)</t>
  </si>
  <si>
    <t>TERMOHIGROMETRO (Govee)</t>
  </si>
  <si>
    <t xml:space="preserve">NEVERA PARA MEDICAMENTOS </t>
  </si>
  <si>
    <t>NEVERA PARA REACTIVOS</t>
  </si>
  <si>
    <t>VITRINA DE MEDICAMENTOS,COLOR:CREMA</t>
  </si>
  <si>
    <t>BALANZA ( Con Tallimetro Generico)</t>
  </si>
  <si>
    <t>SILLONES PARA EL PERSONAL( con Brazo Ajustable ,Espalda Mesh Negro y Asiento en Tela ,Soporte Lumbar , Soporte de Cabeza).</t>
  </si>
  <si>
    <t>SILLAS PACIENTES (Tipo Trineo Espaladar En Tela de Malla)</t>
  </si>
  <si>
    <t xml:space="preserve">SILLAS DE TOMA DE MUESTRA </t>
  </si>
  <si>
    <t>FILAS DE ASIENTOS (Bancada Metalica de Tres Asientos Tapizada En Pielina, color:Azul, W1750 x D720 x H770 mm)</t>
  </si>
  <si>
    <t>BEBEDEROS (NA-680 AC AMERICAM)</t>
  </si>
  <si>
    <t xml:space="preserve">AIRES ACONDICIONADO INVERTER SPLIT/ EXTRACTORES 12 BTU </t>
  </si>
  <si>
    <t>ABANICOS DE PARED DAIWA</t>
  </si>
  <si>
    <t xml:space="preserve">ANAQUELES METALICOS DE 5 TRAMOS </t>
  </si>
  <si>
    <t>GRADILLA PASTICA (50LUG) ZHEJLANG REF H1003) CANTIDAD:100</t>
  </si>
  <si>
    <t>TUBO TAPA ROJA PLAIN 7ML CS/100  MEDMAY,CANTIDAD:100</t>
  </si>
  <si>
    <t>LIVAO</t>
  </si>
  <si>
    <t>UNION JDH IMPORTADORES ,S.R.L.</t>
  </si>
  <si>
    <t>FM05-03149</t>
  </si>
  <si>
    <t>FM05-03150</t>
  </si>
  <si>
    <t>FM05-03151</t>
  </si>
  <si>
    <t>FM05-03152</t>
  </si>
  <si>
    <t>FM05-03153</t>
  </si>
  <si>
    <t>FM05-03154</t>
  </si>
  <si>
    <t>FM05-03155</t>
  </si>
  <si>
    <t>FM05-03156</t>
  </si>
  <si>
    <t>FM05-03157</t>
  </si>
  <si>
    <t>FM05-03158</t>
  </si>
  <si>
    <t>FM05-03159</t>
  </si>
  <si>
    <t>FM05-03160</t>
  </si>
  <si>
    <t>FM05-03161</t>
  </si>
  <si>
    <t>FM05-03162</t>
  </si>
  <si>
    <t>FM05-03163</t>
  </si>
  <si>
    <t>FM05-03164</t>
  </si>
  <si>
    <t>FM05-03165</t>
  </si>
  <si>
    <t>FM05-03166</t>
  </si>
  <si>
    <t>FM05-03167</t>
  </si>
  <si>
    <t>FM05-03168</t>
  </si>
  <si>
    <t>FM05-03169</t>
  </si>
  <si>
    <t>FM05-03170</t>
  </si>
  <si>
    <t>FM05-03171</t>
  </si>
  <si>
    <t>FM05-03172</t>
  </si>
  <si>
    <t>FM05-03173</t>
  </si>
  <si>
    <t>FM05-03174</t>
  </si>
  <si>
    <t>FM05-03175</t>
  </si>
  <si>
    <t>FM05-03176</t>
  </si>
  <si>
    <t>FM05-03177</t>
  </si>
  <si>
    <t>FM05-03178</t>
  </si>
  <si>
    <t>FM05-03179</t>
  </si>
  <si>
    <t>FM05-03180</t>
  </si>
  <si>
    <t>FM05-03181</t>
  </si>
  <si>
    <t>FM05-03182</t>
  </si>
  <si>
    <t>FM05-03183</t>
  </si>
  <si>
    <t>FM05-03184</t>
  </si>
  <si>
    <t>FM05-03185</t>
  </si>
  <si>
    <t>FM05-03186</t>
  </si>
  <si>
    <t>FM05-03187</t>
  </si>
  <si>
    <t>FM05-03188</t>
  </si>
  <si>
    <t>FM05-03189</t>
  </si>
  <si>
    <t>FM05-03190</t>
  </si>
  <si>
    <t>FM05-03191</t>
  </si>
  <si>
    <t>FM05-03192</t>
  </si>
  <si>
    <t>FM05-03193</t>
  </si>
  <si>
    <t>FM05-03194</t>
  </si>
  <si>
    <t>FM05-03195</t>
  </si>
  <si>
    <t>FM05-03196</t>
  </si>
  <si>
    <t>FM05-03197</t>
  </si>
  <si>
    <t>FM05-03198</t>
  </si>
  <si>
    <t>FM05-03199</t>
  </si>
  <si>
    <t>FM05-03200</t>
  </si>
  <si>
    <t>FM05-03201</t>
  </si>
  <si>
    <t>FM05-03202</t>
  </si>
  <si>
    <t>FM05-03203</t>
  </si>
  <si>
    <t>FM05-03204</t>
  </si>
  <si>
    <t>FM05-03205</t>
  </si>
  <si>
    <t>FM05-03206</t>
  </si>
  <si>
    <t>FM05-03207</t>
  </si>
  <si>
    <t>FM05-03208</t>
  </si>
  <si>
    <t>FM05-03209</t>
  </si>
  <si>
    <t>FM05-03210</t>
  </si>
  <si>
    <t>FM05-03211</t>
  </si>
  <si>
    <t>FM05-03212</t>
  </si>
  <si>
    <t>FM05-03213</t>
  </si>
  <si>
    <t>FM05-03214</t>
  </si>
  <si>
    <t>FM05-03215</t>
  </si>
  <si>
    <t>FM05-03216</t>
  </si>
  <si>
    <t>FM05-03217</t>
  </si>
  <si>
    <t>FM05-03218</t>
  </si>
  <si>
    <t>FM05-03219</t>
  </si>
  <si>
    <t>FM05-03220</t>
  </si>
  <si>
    <t>FM05-03221</t>
  </si>
  <si>
    <t>FM05-03222</t>
  </si>
  <si>
    <t>FM05-03223</t>
  </si>
  <si>
    <t>FM05-03224</t>
  </si>
  <si>
    <t>FM05-03225</t>
  </si>
  <si>
    <t>FM05-03226</t>
  </si>
  <si>
    <t>FM05-03227</t>
  </si>
  <si>
    <t>FM05-03228</t>
  </si>
  <si>
    <t>FM05-03229</t>
  </si>
  <si>
    <t>FM05-03230</t>
  </si>
  <si>
    <t>FM05-03231</t>
  </si>
  <si>
    <t>FM05-03232</t>
  </si>
  <si>
    <t>FM05-03233</t>
  </si>
  <si>
    <t>FM05-03234</t>
  </si>
  <si>
    <t>FM05-03235</t>
  </si>
  <si>
    <t>FM05-03236</t>
  </si>
  <si>
    <t>FM05-03237</t>
  </si>
  <si>
    <t>FM05-03238</t>
  </si>
  <si>
    <t>FM05-03239</t>
  </si>
  <si>
    <t>FM05-03240</t>
  </si>
  <si>
    <t>FM05-03241</t>
  </si>
  <si>
    <t>FM05-03242</t>
  </si>
  <si>
    <t>FM05-03243</t>
  </si>
  <si>
    <t>FM05-03244</t>
  </si>
  <si>
    <t>FM05-03245</t>
  </si>
  <si>
    <t>FM05-03246</t>
  </si>
  <si>
    <t>FM05-03247</t>
  </si>
  <si>
    <t>FM05-03248</t>
  </si>
  <si>
    <t>FM05-03249</t>
  </si>
  <si>
    <t>FM05-03250</t>
  </si>
  <si>
    <t>FM05-03251</t>
  </si>
  <si>
    <t>FM05-03252</t>
  </si>
  <si>
    <t>FM05-03253</t>
  </si>
  <si>
    <t>FM05-03254</t>
  </si>
  <si>
    <t>FM05-03255</t>
  </si>
  <si>
    <t>FM05-03256</t>
  </si>
  <si>
    <t>FM05-03257</t>
  </si>
  <si>
    <t>FM05-03258</t>
  </si>
  <si>
    <t>FM05-03259</t>
  </si>
  <si>
    <t>FM05-03260</t>
  </si>
  <si>
    <t>FM05-03261</t>
  </si>
  <si>
    <t>FM05-03262</t>
  </si>
  <si>
    <t>FM05-03263</t>
  </si>
  <si>
    <t>FM05-03264</t>
  </si>
  <si>
    <t>FM05-03265</t>
  </si>
  <si>
    <t>FM05-03266</t>
  </si>
  <si>
    <t>FM05-03267</t>
  </si>
  <si>
    <t>FM05-03268</t>
  </si>
  <si>
    <t>FM05-03269</t>
  </si>
  <si>
    <t>FM05-03270</t>
  </si>
  <si>
    <t>FM05-03271</t>
  </si>
  <si>
    <t>FM05-03272</t>
  </si>
  <si>
    <t>FM05-03273</t>
  </si>
  <si>
    <t>FM05-03274</t>
  </si>
  <si>
    <t>FM05-03275</t>
  </si>
  <si>
    <t>FM05-03276</t>
  </si>
  <si>
    <t>FM05-03277</t>
  </si>
  <si>
    <t>FM05-03278</t>
  </si>
  <si>
    <t>FM05-03279</t>
  </si>
  <si>
    <t>FM05-03280</t>
  </si>
  <si>
    <t>FM05-03281</t>
  </si>
  <si>
    <t>FM05-03282</t>
  </si>
  <si>
    <t>FM05-03283</t>
  </si>
  <si>
    <t>FM05-03284</t>
  </si>
  <si>
    <t>FM05-03285</t>
  </si>
  <si>
    <t>FM05-03286</t>
  </si>
  <si>
    <t>FM05-03287</t>
  </si>
  <si>
    <t>FM05-03288</t>
  </si>
  <si>
    <t>FM05-03289</t>
  </si>
  <si>
    <t>FM05-03290</t>
  </si>
  <si>
    <t>FM05-03291</t>
  </si>
  <si>
    <t>FM05-03292</t>
  </si>
  <si>
    <t>FM05-03293</t>
  </si>
  <si>
    <t>FM05-03294</t>
  </si>
  <si>
    <t>FM05-03295</t>
  </si>
  <si>
    <t>FM05-03296</t>
  </si>
  <si>
    <t>FM05-03297</t>
  </si>
  <si>
    <t>FM05-03298</t>
  </si>
  <si>
    <t>FM05-03299</t>
  </si>
  <si>
    <t>FM05-03300</t>
  </si>
  <si>
    <t>FM05-03301</t>
  </si>
  <si>
    <t>FM05-03302</t>
  </si>
  <si>
    <t>FM05-03303</t>
  </si>
  <si>
    <t>FM05-03304</t>
  </si>
  <si>
    <t>FM05-03305</t>
  </si>
  <si>
    <t>FM05-03306</t>
  </si>
  <si>
    <t>FM05-03307</t>
  </si>
  <si>
    <t>FM05-03308</t>
  </si>
  <si>
    <t>FM05-03309</t>
  </si>
  <si>
    <t>FM05-03310</t>
  </si>
  <si>
    <t>FM05-03311</t>
  </si>
  <si>
    <t>FM05-03312</t>
  </si>
  <si>
    <t>FM05-03313</t>
  </si>
  <si>
    <t>FM05-03314</t>
  </si>
  <si>
    <t>FM05-03315</t>
  </si>
  <si>
    <t>FM05-03316</t>
  </si>
  <si>
    <t>FM05-03317</t>
  </si>
  <si>
    <t>FM05-03318</t>
  </si>
  <si>
    <t>FM05-03319</t>
  </si>
  <si>
    <t>FM05-03320</t>
  </si>
  <si>
    <t>FM05-03321</t>
  </si>
  <si>
    <t>FM05-03322</t>
  </si>
  <si>
    <t>FM05-03323</t>
  </si>
  <si>
    <t>FM05-03324</t>
  </si>
  <si>
    <t>FM05-03325</t>
  </si>
  <si>
    <t>FM05-03326</t>
  </si>
  <si>
    <t>FM05-03327</t>
  </si>
  <si>
    <t>FM05-03328</t>
  </si>
  <si>
    <t>FM05-03329</t>
  </si>
  <si>
    <t>FM05-03330</t>
  </si>
  <si>
    <t>FM05-03331</t>
  </si>
  <si>
    <t>FM05-03332</t>
  </si>
  <si>
    <t>FM05-03333</t>
  </si>
  <si>
    <t>FM05-03334</t>
  </si>
  <si>
    <t>FM05-03335</t>
  </si>
  <si>
    <t>FM05-03336</t>
  </si>
  <si>
    <t>FM05-03337</t>
  </si>
  <si>
    <t>FM05-03338</t>
  </si>
  <si>
    <t>FM05-03339</t>
  </si>
  <si>
    <t>FM05-03340</t>
  </si>
  <si>
    <t>FM05-03341</t>
  </si>
  <si>
    <t>FM05-03342</t>
  </si>
  <si>
    <t>FM05-03343</t>
  </si>
  <si>
    <t>FM05-03344</t>
  </si>
  <si>
    <t>FM05-LAVAMANOS-01</t>
  </si>
  <si>
    <t>FM05-LAVAMANOS-02</t>
  </si>
  <si>
    <t>FM05-LAVAMANOS-03</t>
  </si>
  <si>
    <t>FM05-LAVAMANOS-04</t>
  </si>
  <si>
    <t>FM05-LAVAMANOS-05</t>
  </si>
  <si>
    <t>FM05-LAVAMANOS-06</t>
  </si>
  <si>
    <t>FM05-TERMD-01/ FM05-TERMD-12</t>
  </si>
  <si>
    <t>FM05-GRADD-01/ FM05-GRADD-100</t>
  </si>
  <si>
    <t>FM05-TUBOD-01/ FM05-TUBOD-100</t>
  </si>
  <si>
    <t>TERMOMETRO DIGITAL ,PEQUEÑO CON PANTALLA,CANTIDAD:12</t>
  </si>
  <si>
    <t>ASOLSIDA</t>
  </si>
  <si>
    <t>COTRAVEDT</t>
  </si>
  <si>
    <t>Grupo Paloma</t>
  </si>
  <si>
    <t>INSALUD</t>
  </si>
  <si>
    <t>TRANSSA</t>
  </si>
  <si>
    <t>COVID-0038</t>
  </si>
  <si>
    <t>Covid-FM-199</t>
  </si>
  <si>
    <t>Covid-FM-200</t>
  </si>
  <si>
    <t>Covid-FM-201</t>
  </si>
  <si>
    <t>COVID-PIPT</t>
  </si>
  <si>
    <t>COVID-0039</t>
  </si>
  <si>
    <t>COVID-0040</t>
  </si>
  <si>
    <t>COVID-0041</t>
  </si>
  <si>
    <t>COVID-0042</t>
  </si>
  <si>
    <t>COVID-0043</t>
  </si>
  <si>
    <t>COVID-0044</t>
  </si>
  <si>
    <t>COVID-0045</t>
  </si>
  <si>
    <t>COVID-0046</t>
  </si>
  <si>
    <t>COVID-0047</t>
  </si>
  <si>
    <t>COVID-0048</t>
  </si>
  <si>
    <t>COVID-0049</t>
  </si>
  <si>
    <t>COVID-0050</t>
  </si>
  <si>
    <t>COVID-0051</t>
  </si>
  <si>
    <t>COVID-0052</t>
  </si>
  <si>
    <t>COVID-0053</t>
  </si>
  <si>
    <t>COVID-0054</t>
  </si>
  <si>
    <t>COVID-AMPLIF-01</t>
  </si>
  <si>
    <t>COVID-AMPLIF-02</t>
  </si>
  <si>
    <t>COVID-AMPLIF-03</t>
  </si>
  <si>
    <t>COVID-AMPLIF-04</t>
  </si>
  <si>
    <t>COVID-AMPLIF-05</t>
  </si>
  <si>
    <t>COVID-AMPLIF-06</t>
  </si>
  <si>
    <t>COVID-ESTANT-01/COVID-ESTANT-10</t>
  </si>
  <si>
    <t>COVID-CAM-01</t>
  </si>
  <si>
    <t>COVID-CAM-02</t>
  </si>
  <si>
    <t>Transf.433</t>
  </si>
  <si>
    <t>COVID-MALDI-01</t>
  </si>
  <si>
    <t>Sistema  MALDI Biotyper,Adactadores MSP para Maldi Biotarget</t>
  </si>
  <si>
    <t>1890117/1890113</t>
  </si>
  <si>
    <t xml:space="preserve">ORGANIZACIÓN PANAMECICANA DE LA SALUD (OPS) PAN AMERICAN HEALTH ORGANIZATION </t>
  </si>
  <si>
    <t>COVID-MALDI-02</t>
  </si>
  <si>
    <t>ESPETROMETRO UV-VIS DE MICROVOLUMEN / BK-CW500</t>
  </si>
  <si>
    <t>Transf.434</t>
  </si>
  <si>
    <t>COVID-PRUEBAS GENOMICAS-01</t>
  </si>
  <si>
    <t xml:space="preserve">CONTENEDOR DE NITROGENO LIQUIDO </t>
  </si>
  <si>
    <t>COVID-PRUEBAS GENOMICAS-02</t>
  </si>
  <si>
    <t>MAQUINA DE HIELO EN ESCAMAS 150 V, 60HZ</t>
  </si>
  <si>
    <t>COVID-PRUEBAS GENOMICAS-03</t>
  </si>
  <si>
    <t>MINI BAÑOS SECOS 1150V ,60/60 HZ</t>
  </si>
  <si>
    <t>COVID-PRUEBAS GENOMICAS-04</t>
  </si>
  <si>
    <t>BAÑOS DE AGUA CON AGITACION SOTEMPTH</t>
  </si>
  <si>
    <t>Transf.486</t>
  </si>
  <si>
    <t xml:space="preserve">CONTADOR ULTRASONICO DE DISPENSION DE BACTERIAS </t>
  </si>
  <si>
    <t>SERVICIOS DE MANTENIMIENTO (2 VICITAS PREVENTIVAS AL AÑO )</t>
  </si>
  <si>
    <t>Transf.511</t>
  </si>
  <si>
    <r>
      <t xml:space="preserve">BACT/ALERT 3D 240 MICROBIAN </t>
    </r>
    <r>
      <rPr>
        <b/>
        <sz val="11"/>
        <color theme="1"/>
        <rFont val="Calibri"/>
        <family val="2"/>
        <scheme val="minor"/>
      </rPr>
      <t>(SISTEMA DE DETENCCION)</t>
    </r>
    <r>
      <rPr>
        <sz val="11"/>
        <color theme="1"/>
        <rFont val="Calibri"/>
        <family val="2"/>
        <scheme val="minor"/>
      </rPr>
      <t xml:space="preserve"> FUENTE DE ALIMENTACION 110/220 V </t>
    </r>
    <r>
      <rPr>
        <b/>
        <sz val="11"/>
        <color theme="1"/>
        <rFont val="Calibri"/>
        <family val="2"/>
        <scheme val="minor"/>
      </rPr>
      <t>(SOFTWARE DE INSTALACION INCLUIDA)</t>
    </r>
  </si>
  <si>
    <t>BACT/ALERT FA PLUS (PLASTICO) 30 ML De Medio Complejo Suplementado que contiene cabeza polimericas  adsorbente .</t>
  </si>
  <si>
    <t>REF.410851</t>
  </si>
  <si>
    <t>BACT/ALERT FN PLUS (PLASTICO) 40 ML de Medio Complejo Suplementado que contiene lectura polimericas  adsorbente .</t>
  </si>
  <si>
    <t>BACT/ALERT FN PLUS (PLASTICO) 30 ML de Medio Complejo Suplementado que contiene perlas  polimericas  adsorbente .</t>
  </si>
  <si>
    <t xml:space="preserve">MANTENIMIENTO PREVENTIVO INCLUIDO EN EL PERIODO DE GGARANTIA </t>
  </si>
  <si>
    <t>Transf.609</t>
  </si>
  <si>
    <t>COVID-0055</t>
  </si>
  <si>
    <t xml:space="preserve">UPS 1000 VA/600W APC </t>
  </si>
  <si>
    <t>COVID-0056</t>
  </si>
  <si>
    <t>COVID-0057</t>
  </si>
  <si>
    <t>COVID-0058</t>
  </si>
  <si>
    <t>COVID-0059</t>
  </si>
  <si>
    <t>COVID-0060</t>
  </si>
  <si>
    <t>UPS 1500 VA/900W</t>
  </si>
  <si>
    <t>COVID-0061</t>
  </si>
  <si>
    <t>COVID-0062</t>
  </si>
  <si>
    <t>COVID-0063</t>
  </si>
  <si>
    <t>COVID-0064</t>
  </si>
  <si>
    <t>COVID-0065</t>
  </si>
  <si>
    <t>CABLE UTP 6,CANTIDAD 3</t>
  </si>
  <si>
    <t>Transf.619</t>
  </si>
  <si>
    <t>COVID-0066</t>
  </si>
  <si>
    <t>AIRE ACONDICIONADO INVERTER DE 1 TONELADA DE12,000 BTU</t>
  </si>
  <si>
    <t xml:space="preserve">Dept. de Monitoreo y Evaluacion </t>
  </si>
  <si>
    <t>FRIO MAX, SRL</t>
  </si>
  <si>
    <t>Transf.624</t>
  </si>
  <si>
    <t>COVID-0067</t>
  </si>
  <si>
    <t>UPS DE BAJO CONSUMO</t>
  </si>
  <si>
    <t>COVID-0068</t>
  </si>
  <si>
    <t>COVID-0069</t>
  </si>
  <si>
    <t>Transf.623</t>
  </si>
  <si>
    <t>COVID-0070</t>
  </si>
  <si>
    <t xml:space="preserve">ESTANTES POSTERIOR COLOR: BLANCO </t>
  </si>
  <si>
    <t xml:space="preserve">Departamento Administrativo /Oficina Miriam Baez </t>
  </si>
  <si>
    <t>JHOAN F. HEREDIA (Soluciones Arquitectonicas)</t>
  </si>
  <si>
    <t>COVID-0071</t>
  </si>
  <si>
    <t xml:space="preserve">CREDENZA -COLOR:MARRON </t>
  </si>
  <si>
    <t>COVID-0072</t>
  </si>
  <si>
    <t xml:space="preserve">ESTANTE LATERAL COLOR:GRIS </t>
  </si>
  <si>
    <t xml:space="preserve">Departamento Administrativo /Oficina de Miriam Baez </t>
  </si>
  <si>
    <t>COVID-0073</t>
  </si>
  <si>
    <t xml:space="preserve">ESTRUCTURA METALICAS PARA ARCHIVOS </t>
  </si>
  <si>
    <t xml:space="preserve">Departamento de Prensa </t>
  </si>
  <si>
    <t>COVID-0074</t>
  </si>
  <si>
    <t xml:space="preserve">ARCHIVOS DE PARED EN MELANINA </t>
  </si>
  <si>
    <t>COVID-0075</t>
  </si>
  <si>
    <t xml:space="preserve">CREDENZA PEQUEÑA </t>
  </si>
  <si>
    <t>COVID-0076</t>
  </si>
  <si>
    <t>Departamento Monitores Financiero (Coalicion)</t>
  </si>
  <si>
    <t>COVID-0077</t>
  </si>
  <si>
    <t>COVID-0078</t>
  </si>
  <si>
    <t xml:space="preserve">CREDENZA POSTERIOR </t>
  </si>
  <si>
    <t>____________________________</t>
  </si>
  <si>
    <t>________________________</t>
  </si>
  <si>
    <t>_________________________</t>
  </si>
  <si>
    <t>BACTEC MGIT 960,INCLUYE: ,BD BACTE 960 STARTE CRUP, BD,BACTEC MGI 960 AST STARTE KIT .</t>
  </si>
  <si>
    <t>Wambo.org</t>
  </si>
  <si>
    <t>PRINTER , EpiCenter BROTHER L5000D</t>
  </si>
  <si>
    <t>CENTRIFUGE, REFIGERATED, 24 POSITIONS</t>
  </si>
  <si>
    <t xml:space="preserve">REFIGERATOR,PHARMACY 639L </t>
  </si>
  <si>
    <t xml:space="preserve">REFIGERATOR W/ FREEZER,282L </t>
  </si>
  <si>
    <t>FREEZER , LABOTATORY BLOOD SAMPLE,747 L</t>
  </si>
  <si>
    <t xml:space="preserve">SERIES 8000, WATER-JACKETER,C02 SERIALIZER,184L </t>
  </si>
  <si>
    <t>Transf.618</t>
  </si>
  <si>
    <t>COVID-0079</t>
  </si>
  <si>
    <t xml:space="preserve">AIRE ACONDICIONADO INVERTER,CAPACIDAD 60,000 BTU-SEER 18,000-MARCA:CONFORT TIME </t>
  </si>
  <si>
    <t xml:space="preserve">ALMACEN DEL LABORATORIO NACIONAL Dr. DEFILLO </t>
  </si>
  <si>
    <t>DEMEERO, CONTRUCTORA S.R.L.</t>
  </si>
  <si>
    <t>COVID-0080</t>
  </si>
  <si>
    <t>COVID-0081</t>
  </si>
  <si>
    <r>
      <t>UPS VERTIV LIEBERT GXT5 ONLINE UPS 3000VA,3000 120V ,</t>
    </r>
    <r>
      <rPr>
        <b/>
        <sz val="11"/>
        <color theme="1"/>
        <rFont val="Calibri"/>
        <family val="2"/>
        <scheme val="minor"/>
      </rPr>
      <t xml:space="preserve"> INCLUYE 4 BATERIAS DE LA MISMA MARCA QUE EL UPS</t>
    </r>
    <r>
      <rPr>
        <sz val="11"/>
        <color theme="1"/>
        <rFont val="Calibri"/>
        <family val="2"/>
        <scheme val="minor"/>
      </rPr>
      <t xml:space="preserve"> E  INSTALACION INCLUIDA .</t>
    </r>
  </si>
  <si>
    <t>COMPU OFFICE DOMINICANA,SRL.</t>
  </si>
  <si>
    <t>DAÑADO</t>
  </si>
  <si>
    <t xml:space="preserve">Covid-0190     covid-0191  Covid -   </t>
  </si>
  <si>
    <t>COVID-0198</t>
  </si>
  <si>
    <t>Laboratorio Nacional Dr. Defillo/ALMACEN</t>
  </si>
  <si>
    <t>COVID-0199</t>
  </si>
  <si>
    <t>COVID-0196</t>
  </si>
  <si>
    <t>Covid-0192</t>
  </si>
  <si>
    <t>Laboratorio Nacional Dr. Defillo/BACTERIOLOGIA</t>
  </si>
  <si>
    <t>Covid-0181</t>
  </si>
  <si>
    <t>Covid-0182</t>
  </si>
  <si>
    <t>Covid-0183</t>
  </si>
  <si>
    <t>Covid-0184</t>
  </si>
  <si>
    <t>TRANF.3368</t>
  </si>
  <si>
    <t>Dañado</t>
  </si>
  <si>
    <t xml:space="preserve">Dep. De Tecnologia </t>
  </si>
  <si>
    <t>Unidad de Auditoria Interna de la Contraloria General (UAI)</t>
  </si>
  <si>
    <t xml:space="preserve">Impresora Zebra Termica Directo,USB, Ranura de Conectividad Regular </t>
  </si>
  <si>
    <t xml:space="preserve">SERVICIO REGIONAL DE SALUD ENRIQULLO </t>
  </si>
  <si>
    <t xml:space="preserve">SERVICIO REGIONAL DE SALUD ESTE </t>
  </si>
  <si>
    <t xml:space="preserve">SERVICIO REGIONAL DE SALUD NORCENTRAL </t>
  </si>
  <si>
    <t xml:space="preserve">SAN CRISTOBAL </t>
  </si>
  <si>
    <t xml:space="preserve">SERVICIO REGIONAL DE SALUD VALDESIA </t>
  </si>
  <si>
    <t xml:space="preserve">SAN JUAN </t>
  </si>
  <si>
    <t>SANTIAGO</t>
  </si>
  <si>
    <t xml:space="preserve">BARAHONA </t>
  </si>
  <si>
    <t>Lib.186-1</t>
  </si>
  <si>
    <t>GOBDOM-YIPETA-01</t>
  </si>
  <si>
    <t>YIPETA TOYOTA YARIS CROSS COLOR:PLATEADO  AÑO: 2025</t>
  </si>
  <si>
    <t>MHFAA8AF200033590</t>
  </si>
  <si>
    <t>Lib. 233-1</t>
  </si>
  <si>
    <t xml:space="preserve">AIRE ACONDICIONADO INVERTER DE 3 TOLNELADA  INVERTER  (36,000 BTU) Marca: CIAC CARRIER EFIICIENCIA  18,220V TIPO CONSOLA DE PARED. </t>
  </si>
  <si>
    <t xml:space="preserve">AIRE ACONDICIONADO INVERTER DE 1.5 TOLNELADA  INVERTER  (18,000 BTU) Marca: CIAC CARRIER EFIICIENCIA  19,220V TIPO CONSOLA DE PARED. </t>
  </si>
  <si>
    <t>GOBDOM-02-02125</t>
  </si>
  <si>
    <t>GOBDOM-02-02126</t>
  </si>
  <si>
    <t>Lib.301-1</t>
  </si>
  <si>
    <t>GOBDOM-02-02127</t>
  </si>
  <si>
    <t xml:space="preserve">COMPUTADORA OPTIPLEX 7010 MFF PROCESADOR 17, MEMORIA 16GB / MONITOR DELL 24 </t>
  </si>
  <si>
    <t>GOBDOM-02-02128</t>
  </si>
  <si>
    <t>GOBDOM-02-02129</t>
  </si>
  <si>
    <t>GOBDOM-02-02130</t>
  </si>
  <si>
    <t>GOBDOM-02-02131</t>
  </si>
  <si>
    <t>GOBDOM-02-02132</t>
  </si>
  <si>
    <t>GOBDOM-02-02133</t>
  </si>
  <si>
    <t>GOBDOM-02-02134</t>
  </si>
  <si>
    <t>GOBDOM-02-02135</t>
  </si>
  <si>
    <t>GOBDOM-02-02136</t>
  </si>
  <si>
    <t>GOBDOM-02-02137</t>
  </si>
  <si>
    <t>GOBDOM-02-02138</t>
  </si>
  <si>
    <t>GOBDOM-02-02139</t>
  </si>
  <si>
    <t>GOBDOM-02-02140</t>
  </si>
  <si>
    <t>GOBDOM-02-02141</t>
  </si>
  <si>
    <t>GOBDOM-02-02142</t>
  </si>
  <si>
    <t>GOBDOM-02-02143</t>
  </si>
  <si>
    <t>COMPUTADORA OPTIPLEX 7010 MFF PROCESADOR 17, MEMORIA 8GB / MONITOR DELL 22</t>
  </si>
  <si>
    <t>TRANF.3344</t>
  </si>
  <si>
    <r>
      <t xml:space="preserve">NEVERA PORTATILES </t>
    </r>
    <r>
      <rPr>
        <b/>
        <sz val="11"/>
        <rFont val="Arial"/>
        <family val="2"/>
      </rPr>
      <t>CANTIDAD:72</t>
    </r>
  </si>
  <si>
    <t>FM05-03345</t>
  </si>
  <si>
    <t>FM05-03346</t>
  </si>
  <si>
    <t>FM05-03347</t>
  </si>
  <si>
    <t xml:space="preserve">AIRE ACONDICIONADO DE 18,000 BTU INVERTER MARCA:COMFORT TIME EFIC </t>
  </si>
  <si>
    <t>FRIOMAX S.R.L</t>
  </si>
  <si>
    <t>MICROONDAS SAMSUM DE MESA  1.0.P.C 1600 WATTS, 10 NIVELES DE ENERGIA.</t>
  </si>
  <si>
    <t>0A9K7WET100555E</t>
  </si>
  <si>
    <t>0A9K7WET500386N</t>
  </si>
  <si>
    <r>
      <t xml:space="preserve">GOBDOM-01-05643(SIAB)  </t>
    </r>
    <r>
      <rPr>
        <b/>
        <sz val="9"/>
        <color rgb="FFFF0000"/>
        <rFont val="Arial"/>
        <family val="2"/>
      </rPr>
      <t>GOBDOM-02-01817</t>
    </r>
  </si>
  <si>
    <r>
      <t xml:space="preserve">GOBDOM-01-05644(SIAB) </t>
    </r>
    <r>
      <rPr>
        <b/>
        <sz val="9"/>
        <color rgb="FFFF0000"/>
        <rFont val="Arial"/>
        <family val="2"/>
      </rPr>
      <t>GOBDOM-02-01818</t>
    </r>
  </si>
  <si>
    <t>TRANF.19</t>
  </si>
  <si>
    <t>Swich Fortinet 24 (Dispositivo de red )</t>
  </si>
  <si>
    <t>FM05-03348</t>
  </si>
  <si>
    <t>FM05-03349</t>
  </si>
  <si>
    <t>Televisor samsumg de 55 Pulgada LED,Smart 4K LED</t>
  </si>
  <si>
    <t>CECOMSA,S.R.L.</t>
  </si>
  <si>
    <t>FM05-03350</t>
  </si>
  <si>
    <t>FM05-03351</t>
  </si>
  <si>
    <t>FM05-NP-01/ FM05-NP-72</t>
  </si>
  <si>
    <t>Transf.629</t>
  </si>
  <si>
    <t>2302000036AFFE7</t>
  </si>
  <si>
    <t>Lib.408</t>
  </si>
  <si>
    <t>AIRE ACONDICINADO</t>
  </si>
  <si>
    <t>GOBDOM-02-02144</t>
  </si>
  <si>
    <t>Total Año 2025</t>
  </si>
  <si>
    <t>GOBDOM-02-02145</t>
  </si>
  <si>
    <t>GOBDOM-02-02146</t>
  </si>
  <si>
    <t>Lib.765</t>
  </si>
  <si>
    <t>Archivo de 5 gavetas en metal 8 1/2 x 13</t>
  </si>
  <si>
    <t xml:space="preserve">Recursos Humano </t>
  </si>
  <si>
    <t>REVASA</t>
  </si>
  <si>
    <t>TRANF.119</t>
  </si>
  <si>
    <t>TRANF.190</t>
  </si>
  <si>
    <t>FM05-03352</t>
  </si>
  <si>
    <t>FM05-03353</t>
  </si>
  <si>
    <t>FM05-03354</t>
  </si>
  <si>
    <t>FM05-03355</t>
  </si>
  <si>
    <t>FM05-03356</t>
  </si>
  <si>
    <t>FM05-03357</t>
  </si>
  <si>
    <t>FM05-03358</t>
  </si>
  <si>
    <t>ADAPTADORES MULTIPUERTO USB,MARCA:DELL</t>
  </si>
  <si>
    <t>CLICKTECK.S.R.L</t>
  </si>
  <si>
    <t>TRANF.218</t>
  </si>
  <si>
    <t>FM05-03359</t>
  </si>
  <si>
    <t>FM05-03360</t>
  </si>
  <si>
    <t>FM05-03361</t>
  </si>
  <si>
    <t>FM05-03362</t>
  </si>
  <si>
    <t>FM05-03363</t>
  </si>
  <si>
    <r>
      <t>TABLET APPLE IPAD PRO DE 13 PULGADA, MODELO: A2926 Y  ACCESORIOS</t>
    </r>
    <r>
      <rPr>
        <sz val="10"/>
        <color theme="1"/>
        <rFont val="Calibri"/>
        <family val="2"/>
        <scheme val="minor"/>
      </rPr>
      <t xml:space="preserve"> (LAPIZ INTELIGENTE EN BLANCO, PROTETOR DE PANTALLA Y FUNDA CON TECLADO)</t>
    </r>
    <r>
      <rPr>
        <sz val="11"/>
        <color theme="1"/>
        <rFont val="Calibri"/>
        <family val="2"/>
        <scheme val="minor"/>
      </rPr>
      <t>.</t>
    </r>
  </si>
  <si>
    <t xml:space="preserve">SILLAS SECRETARIAL INFINITI SIN BRAZOS, EN TELA NEGRA RECLINABLE COLOR:GRIS </t>
  </si>
  <si>
    <t xml:space="preserve">MONITOREO </t>
  </si>
  <si>
    <t xml:space="preserve">ESTE </t>
  </si>
  <si>
    <t xml:space="preserve">NO REGISTRADO EN EL SIAB </t>
  </si>
  <si>
    <r>
      <t xml:space="preserve">LAVAMANOS/                       </t>
    </r>
    <r>
      <rPr>
        <b/>
        <sz val="11"/>
        <rFont val="Arial"/>
        <family val="2"/>
      </rPr>
      <t>NO REGISTRADO EN EL SIAB .</t>
    </r>
  </si>
  <si>
    <t>TRANF.135</t>
  </si>
  <si>
    <t>Total año 2025</t>
  </si>
  <si>
    <r>
      <t xml:space="preserve">Lavamanos  de Pedestal  Bellari/ </t>
    </r>
    <r>
      <rPr>
        <b/>
        <sz val="11"/>
        <color theme="1"/>
        <rFont val="Arial"/>
        <family val="2"/>
      </rPr>
      <t xml:space="preserve">NO REGITRADO EN EL SIAB </t>
    </r>
  </si>
  <si>
    <t>.</t>
  </si>
  <si>
    <t xml:space="preserve">                                                                              INVENTARIO GENERAL DE EQUIPOS Y MOBILIARIOS DE OFICINA - PROYECTO COVID 19 CRM.</t>
  </si>
  <si>
    <t>|</t>
  </si>
  <si>
    <t xml:space="preserve">                       ACTIVOS FIJOS ACUMULADO AL 30 de JUNIO , 2025</t>
  </si>
  <si>
    <t xml:space="preserve">        ACTIVOS FIJOS ACUMULADO AL 30 de JUNIO 2025</t>
  </si>
  <si>
    <t xml:space="preserve">         ACTIVOS FIJOS ACUMULADO AL 30 JUNIO 2025</t>
  </si>
  <si>
    <t xml:space="preserve">        ACTIVOS FIJOS ACUMULADO AL 30 DE JUNIO 2025</t>
  </si>
  <si>
    <t xml:space="preserve">         ACTIVOS FIJOS ACUMULADO AL 30 DE JUNIO 2025</t>
  </si>
  <si>
    <t xml:space="preserve">                                                          ACTIVOS FIJOS -ACUMULADO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</si>
</sst>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_-"/>
    <numFmt numFmtId="166" formatCode="[$-C0A]dd\-mmm\-yy;@"/>
  </numFmts>
  <fonts count="112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16"/>
      <color indexed="18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4"/>
      <color indexed="18"/>
      <name val="Arial"/>
      <family val="2"/>
    </font>
    <font>
      <b/>
      <sz val="16"/>
      <color indexed="20"/>
      <name val="Arial"/>
      <family val="2"/>
    </font>
    <font>
      <b/>
      <sz val="14"/>
      <color indexed="20"/>
      <name val="Arial"/>
      <family val="2"/>
    </font>
    <font>
      <b/>
      <sz val="10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b/>
      <i/>
      <sz val="8"/>
      <name val="Arial"/>
      <family val="2"/>
    </font>
    <font>
      <b/>
      <i/>
      <sz val="10"/>
      <color indexed="12"/>
      <name val="Arial"/>
      <family val="2"/>
    </font>
    <font>
      <b/>
      <sz val="11"/>
      <name val="Arial"/>
      <family val="2"/>
    </font>
    <font>
      <b/>
      <sz val="11"/>
      <color indexed="18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sz val="8"/>
      <name val="Tahoma"/>
      <family val="2"/>
    </font>
    <font>
      <b/>
      <sz val="11"/>
      <color indexed="10"/>
      <name val="Arial"/>
      <family val="2"/>
    </font>
    <font>
      <b/>
      <i/>
      <sz val="8"/>
      <color indexed="12"/>
      <name val="Arial"/>
      <family val="2"/>
    </font>
    <font>
      <b/>
      <i/>
      <sz val="8"/>
      <color indexed="48"/>
      <name val="Arial"/>
      <family val="2"/>
    </font>
    <font>
      <b/>
      <sz val="11"/>
      <color indexed="9"/>
      <name val="Arial"/>
      <family val="2"/>
    </font>
    <font>
      <b/>
      <sz val="8"/>
      <color indexed="10"/>
      <name val="Arial"/>
      <family val="2"/>
    </font>
    <font>
      <b/>
      <i/>
      <sz val="12"/>
      <name val="Arial"/>
      <family val="2"/>
    </font>
    <font>
      <b/>
      <i/>
      <sz val="11"/>
      <color indexed="20"/>
      <name val="Arial"/>
      <family val="2"/>
    </font>
    <font>
      <b/>
      <sz val="10"/>
      <color indexed="18"/>
      <name val="Arial"/>
      <family val="2"/>
    </font>
    <font>
      <b/>
      <i/>
      <sz val="10"/>
      <color indexed="48"/>
      <name val="Arial"/>
      <family val="2"/>
    </font>
    <font>
      <b/>
      <u/>
      <sz val="11"/>
      <color indexed="10"/>
      <name val="Arial"/>
      <family val="2"/>
    </font>
    <font>
      <sz val="10"/>
      <color indexed="8"/>
      <name val="MS Sans Serif"/>
      <family val="2"/>
    </font>
    <font>
      <b/>
      <sz val="9"/>
      <color indexed="20"/>
      <name val="Arial"/>
      <family val="2"/>
    </font>
    <font>
      <b/>
      <sz val="10"/>
      <color indexed="12"/>
      <name val="Arial"/>
      <family val="2"/>
    </font>
    <font>
      <b/>
      <sz val="14"/>
      <color indexed="16"/>
      <name val="Arial"/>
      <family val="2"/>
    </font>
    <font>
      <b/>
      <i/>
      <sz val="9"/>
      <name val="Arial"/>
      <family val="2"/>
    </font>
    <font>
      <b/>
      <sz val="8"/>
      <color indexed="18"/>
      <name val="Arial"/>
      <family val="2"/>
    </font>
    <font>
      <b/>
      <sz val="11"/>
      <name val="Tahoma"/>
      <family val="2"/>
    </font>
    <font>
      <b/>
      <sz val="10"/>
      <color indexed="9"/>
      <name val="Verdana"/>
      <family val="2"/>
    </font>
    <font>
      <b/>
      <i/>
      <sz val="9"/>
      <name val="Arial Black"/>
      <family val="2"/>
    </font>
    <font>
      <b/>
      <sz val="9"/>
      <color indexed="18"/>
      <name val="Arial"/>
      <family val="2"/>
    </font>
    <font>
      <sz val="8"/>
      <name val="MS Sans Serif"/>
      <family val="2"/>
    </font>
    <font>
      <b/>
      <sz val="10"/>
      <color indexed="10"/>
      <name val="Arial"/>
      <family val="2"/>
    </font>
    <font>
      <b/>
      <sz val="16"/>
      <color rgb="FFFF0000"/>
      <name val="Arial"/>
      <family val="2"/>
    </font>
    <font>
      <b/>
      <sz val="14"/>
      <color rgb="FF002060"/>
      <name val="Arial"/>
      <family val="2"/>
    </font>
    <font>
      <b/>
      <sz val="14"/>
      <color theme="1"/>
      <name val="Arial"/>
      <family val="2"/>
    </font>
    <font>
      <sz val="8"/>
      <color theme="3" tint="0.39997558519241921"/>
      <name val="Arial"/>
      <family val="2"/>
    </font>
    <font>
      <sz val="11"/>
      <color theme="1"/>
      <name val="Arial"/>
      <family val="2"/>
    </font>
    <font>
      <b/>
      <sz val="10"/>
      <color theme="3" tint="0.39997558519241921"/>
      <name val="Arial"/>
      <family val="2"/>
    </font>
    <font>
      <b/>
      <sz val="8"/>
      <color theme="3" tint="0.39997558519241921"/>
      <name val="Arial"/>
      <family val="2"/>
    </font>
    <font>
      <sz val="8"/>
      <color theme="3" tint="0.39997558519241921"/>
      <name val="Tahoma"/>
      <family val="2"/>
    </font>
    <font>
      <b/>
      <sz val="16"/>
      <color rgb="FFCC0000"/>
      <name val="Aharoni"/>
      <family val="2"/>
    </font>
    <font>
      <b/>
      <sz val="20"/>
      <color rgb="FFCC0000"/>
      <name val="Aharoni"/>
      <family val="2"/>
    </font>
    <font>
      <b/>
      <sz val="10"/>
      <color rgb="FF002060"/>
      <name val="Arial"/>
      <family val="2"/>
    </font>
    <font>
      <b/>
      <sz val="11"/>
      <color theme="4"/>
      <name val="Arial"/>
      <family val="2"/>
    </font>
    <font>
      <b/>
      <sz val="10"/>
      <color theme="4"/>
      <name val="Arial"/>
      <family val="2"/>
    </font>
    <font>
      <b/>
      <sz val="10"/>
      <color theme="4" tint="-0.499984740745262"/>
      <name val="Arial"/>
      <family val="2"/>
    </font>
    <font>
      <sz val="11"/>
      <name val="Calibri"/>
      <family val="2"/>
      <scheme val="minor"/>
    </font>
    <font>
      <b/>
      <i/>
      <sz val="12"/>
      <color rgb="FF002060"/>
      <name val="Arial"/>
      <family val="2"/>
    </font>
    <font>
      <sz val="11"/>
      <color rgb="FF9C0006"/>
      <name val="Calibri"/>
      <family val="2"/>
      <scheme val="minor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20"/>
      <color rgb="FFCC0000"/>
      <name val="Arial"/>
      <family val="2"/>
    </font>
    <font>
      <sz val="11"/>
      <name val="Tahom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.5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18"/>
      <name val="Arial"/>
      <family val="2"/>
    </font>
    <font>
      <b/>
      <sz val="12"/>
      <color indexed="10"/>
      <name val="Arial"/>
      <family val="2"/>
    </font>
    <font>
      <sz val="12"/>
      <color theme="1"/>
      <name val="Calibri"/>
      <family val="2"/>
      <scheme val="minor"/>
    </font>
    <font>
      <sz val="12"/>
      <color indexed="56"/>
      <name val="Arial"/>
      <family val="2"/>
    </font>
    <font>
      <b/>
      <sz val="12"/>
      <color indexed="56"/>
      <name val="Arial"/>
      <family val="2"/>
    </font>
    <font>
      <b/>
      <i/>
      <sz val="12"/>
      <color indexed="12"/>
      <name val="Arial"/>
      <family val="2"/>
    </font>
    <font>
      <sz val="12"/>
      <name val="Arial"/>
      <family val="2"/>
    </font>
    <font>
      <b/>
      <sz val="12"/>
      <color rgb="FF00206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i/>
      <sz val="12"/>
      <name val="Arial Black"/>
      <family val="2"/>
    </font>
    <font>
      <sz val="8"/>
      <name val="Calibri"/>
      <family val="2"/>
      <scheme val="minor"/>
    </font>
    <font>
      <sz val="11"/>
      <color theme="1"/>
      <name val="Aptos"/>
      <family val="2"/>
    </font>
    <font>
      <b/>
      <sz val="12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sz val="10"/>
      <color theme="4" tint="-0.499984740745262"/>
      <name val="Tahoma"/>
      <family val="2"/>
    </font>
    <font>
      <sz val="8"/>
      <color theme="4" tint="-0.499984740745262"/>
      <name val="Arial"/>
      <family val="2"/>
    </font>
    <font>
      <sz val="8"/>
      <color theme="4" tint="-0.499984740745262"/>
      <name val="Tahoma"/>
      <family val="2"/>
    </font>
    <font>
      <b/>
      <sz val="8"/>
      <color theme="4" tint="-0.499984740745262"/>
      <name val="Arial"/>
      <family val="2"/>
    </font>
    <font>
      <b/>
      <i/>
      <sz val="8"/>
      <color theme="4" tint="-0.499984740745262"/>
      <name val="Arial"/>
      <family val="2"/>
    </font>
    <font>
      <sz val="11"/>
      <color theme="4" tint="-0.499984740745262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FF0000"/>
      <name val="Tahoma"/>
      <family val="2"/>
    </font>
    <font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206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3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7" fillId="0" borderId="0"/>
    <xf numFmtId="0" fontId="65" fillId="13" borderId="0" applyNumberFormat="0" applyBorder="0" applyAlignment="0" applyProtection="0"/>
    <xf numFmtId="0" fontId="81" fillId="0" borderId="0"/>
    <xf numFmtId="0" fontId="68" fillId="0" borderId="0"/>
  </cellStyleXfs>
  <cellXfs count="1006">
    <xf numFmtId="0" fontId="0" fillId="0" borderId="0" xfId="0"/>
    <xf numFmtId="0" fontId="1" fillId="0" borderId="0" xfId="9" applyFont="1" applyProtection="1">
      <protection locked="0"/>
    </xf>
    <xf numFmtId="0" fontId="1" fillId="0" borderId="0" xfId="9" applyFont="1" applyAlignment="1" applyProtection="1">
      <alignment horizontal="left"/>
      <protection locked="0"/>
    </xf>
    <xf numFmtId="0" fontId="1" fillId="0" borderId="0" xfId="9" applyFont="1" applyAlignment="1">
      <alignment horizontal="center"/>
    </xf>
    <xf numFmtId="0" fontId="1" fillId="0" borderId="0" xfId="9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8" borderId="0" xfId="9" applyFont="1" applyFill="1" applyAlignment="1" applyProtection="1">
      <alignment horizontal="center" vertical="center"/>
      <protection locked="0"/>
    </xf>
    <xf numFmtId="0" fontId="2" fillId="0" borderId="0" xfId="9" applyFont="1" applyProtection="1">
      <protection locked="0"/>
    </xf>
    <xf numFmtId="0" fontId="3" fillId="0" borderId="0" xfId="9" applyFont="1" applyProtection="1">
      <protection locked="0"/>
    </xf>
    <xf numFmtId="0" fontId="4" fillId="0" borderId="0" xfId="9"/>
    <xf numFmtId="0" fontId="4" fillId="0" borderId="0" xfId="9" applyAlignment="1">
      <alignment horizontal="center"/>
    </xf>
    <xf numFmtId="0" fontId="5" fillId="0" borderId="0" xfId="9" applyFont="1" applyAlignment="1" applyProtection="1">
      <alignment horizontal="left"/>
      <protection locked="0"/>
    </xf>
    <xf numFmtId="0" fontId="49" fillId="0" borderId="0" xfId="9" applyFont="1" applyAlignment="1" applyProtection="1">
      <alignment horizontal="left"/>
      <protection locked="0"/>
    </xf>
    <xf numFmtId="0" fontId="6" fillId="0" borderId="0" xfId="9" applyFont="1" applyProtection="1">
      <protection locked="0"/>
    </xf>
    <xf numFmtId="0" fontId="50" fillId="0" borderId="0" xfId="9" applyFont="1" applyAlignment="1" applyProtection="1">
      <alignment horizontal="left"/>
      <protection locked="0"/>
    </xf>
    <xf numFmtId="0" fontId="7" fillId="0" borderId="0" xfId="9" applyFont="1" applyAlignment="1" applyProtection="1">
      <alignment horizontal="left"/>
      <protection locked="0"/>
    </xf>
    <xf numFmtId="0" fontId="8" fillId="0" borderId="0" xfId="9" applyFont="1" applyAlignment="1" applyProtection="1">
      <alignment horizontal="left"/>
      <protection locked="0"/>
    </xf>
    <xf numFmtId="0" fontId="9" fillId="0" borderId="0" xfId="9" applyFont="1" applyAlignment="1" applyProtection="1">
      <alignment horizontal="left" vertical="center"/>
      <protection locked="0"/>
    </xf>
    <xf numFmtId="0" fontId="51" fillId="0" borderId="0" xfId="9" applyFont="1" applyAlignment="1" applyProtection="1">
      <alignment horizontal="left" vertical="center"/>
      <protection locked="0"/>
    </xf>
    <xf numFmtId="0" fontId="7" fillId="0" borderId="0" xfId="9" applyFont="1" applyProtection="1">
      <protection locked="0"/>
    </xf>
    <xf numFmtId="0" fontId="10" fillId="0" borderId="0" xfId="9" applyFont="1" applyAlignment="1" applyProtection="1">
      <alignment horizontal="left" vertical="center"/>
      <protection locked="0"/>
    </xf>
    <xf numFmtId="0" fontId="9" fillId="0" borderId="1" xfId="9" applyFont="1" applyBorder="1" applyAlignment="1" applyProtection="1">
      <alignment horizontal="left" vertical="center"/>
      <protection locked="0"/>
    </xf>
    <xf numFmtId="0" fontId="10" fillId="0" borderId="1" xfId="9" applyFont="1" applyBorder="1" applyAlignment="1" applyProtection="1">
      <alignment horizontal="left" vertical="center"/>
      <protection locked="0"/>
    </xf>
    <xf numFmtId="15" fontId="11" fillId="9" borderId="2" xfId="0" applyNumberFormat="1" applyFont="1" applyFill="1" applyBorder="1" applyAlignment="1">
      <alignment horizontal="center" vertical="center" wrapText="1"/>
    </xf>
    <xf numFmtId="15" fontId="4" fillId="0" borderId="2" xfId="9" applyNumberFormat="1" applyBorder="1" applyAlignment="1" applyProtection="1">
      <alignment horizontal="center" vertical="center"/>
      <protection locked="0"/>
    </xf>
    <xf numFmtId="0" fontId="4" fillId="0" borderId="2" xfId="9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15" fontId="4" fillId="0" borderId="2" xfId="0" applyNumberFormat="1" applyFont="1" applyBorder="1" applyAlignment="1" applyProtection="1">
      <alignment horizontal="center" vertical="center"/>
      <protection locked="0"/>
    </xf>
    <xf numFmtId="15" fontId="4" fillId="8" borderId="2" xfId="0" applyNumberFormat="1" applyFont="1" applyFill="1" applyBorder="1" applyAlignment="1" applyProtection="1">
      <alignment horizontal="center" vertical="center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15" fontId="12" fillId="9" borderId="2" xfId="0" applyNumberFormat="1" applyFont="1" applyFill="1" applyBorder="1" applyAlignment="1">
      <alignment horizontal="center" vertical="center" wrapText="1"/>
    </xf>
    <xf numFmtId="15" fontId="13" fillId="9" borderId="2" xfId="0" applyNumberFormat="1" applyFont="1" applyFill="1" applyBorder="1" applyAlignment="1">
      <alignment horizontal="center" vertical="center" wrapText="1"/>
    </xf>
    <xf numFmtId="43" fontId="14" fillId="0" borderId="2" xfId="3" applyFont="1" applyFill="1" applyBorder="1" applyAlignment="1" applyProtection="1">
      <alignment horizontal="center" vertical="center" wrapText="1"/>
    </xf>
    <xf numFmtId="43" fontId="4" fillId="0" borderId="2" xfId="3" applyFont="1" applyFill="1" applyBorder="1" applyAlignment="1" applyProtection="1">
      <alignment horizontal="center" vertical="center"/>
    </xf>
    <xf numFmtId="43" fontId="14" fillId="0" borderId="2" xfId="9" applyNumberFormat="1" applyFont="1" applyBorder="1" applyAlignment="1">
      <alignment horizontal="center" vertical="center"/>
    </xf>
    <xf numFmtId="164" fontId="14" fillId="0" borderId="2" xfId="9" applyNumberFormat="1" applyFont="1" applyBorder="1" applyAlignment="1">
      <alignment horizontal="center" vertical="center"/>
    </xf>
    <xf numFmtId="43" fontId="14" fillId="0" borderId="2" xfId="3" applyFont="1" applyFill="1" applyBorder="1" applyAlignment="1" applyProtection="1">
      <alignment horizontal="center" vertical="center"/>
    </xf>
    <xf numFmtId="43" fontId="14" fillId="0" borderId="2" xfId="0" applyNumberFormat="1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43" fontId="14" fillId="8" borderId="2" xfId="3" applyFont="1" applyFill="1" applyBorder="1" applyAlignment="1" applyProtection="1">
      <alignment horizontal="center" vertical="center" wrapText="1"/>
    </xf>
    <xf numFmtId="43" fontId="4" fillId="8" borderId="2" xfId="3" applyFont="1" applyFill="1" applyBorder="1" applyAlignment="1" applyProtection="1">
      <alignment horizontal="center" vertical="center"/>
    </xf>
    <xf numFmtId="43" fontId="14" fillId="8" borderId="2" xfId="0" applyNumberFormat="1" applyFont="1" applyFill="1" applyBorder="1" applyAlignment="1">
      <alignment horizontal="center" vertical="center"/>
    </xf>
    <xf numFmtId="164" fontId="14" fillId="8" borderId="2" xfId="0" applyNumberFormat="1" applyFont="1" applyFill="1" applyBorder="1" applyAlignment="1">
      <alignment horizontal="center" vertical="center"/>
    </xf>
    <xf numFmtId="43" fontId="14" fillId="8" borderId="2" xfId="3" applyFont="1" applyFill="1" applyBorder="1" applyAlignment="1" applyProtection="1">
      <alignment horizontal="center" vertical="center"/>
    </xf>
    <xf numFmtId="0" fontId="1" fillId="8" borderId="0" xfId="0" applyFont="1" applyFill="1" applyAlignment="1" applyProtection="1">
      <alignment horizontal="center" vertical="center"/>
      <protection locked="0"/>
    </xf>
    <xf numFmtId="43" fontId="14" fillId="0" borderId="2" xfId="8" applyFont="1" applyFill="1" applyBorder="1" applyAlignment="1" applyProtection="1">
      <alignment horizontal="center" vertical="center" wrapText="1"/>
    </xf>
    <xf numFmtId="43" fontId="4" fillId="0" borderId="2" xfId="8" applyFont="1" applyFill="1" applyBorder="1" applyAlignment="1" applyProtection="1">
      <alignment horizontal="center" vertical="center"/>
    </xf>
    <xf numFmtId="43" fontId="14" fillId="8" borderId="2" xfId="8" applyFont="1" applyFill="1" applyBorder="1" applyAlignment="1" applyProtection="1">
      <alignment horizontal="center" vertical="center" wrapText="1"/>
    </xf>
    <xf numFmtId="43" fontId="4" fillId="8" borderId="2" xfId="8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15" fontId="4" fillId="8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 wrapText="1"/>
      <protection locked="0"/>
    </xf>
    <xf numFmtId="0" fontId="4" fillId="8" borderId="4" xfId="0" applyFont="1" applyFill="1" applyBorder="1" applyAlignment="1" applyProtection="1">
      <alignment horizontal="center" vertical="center"/>
      <protection locked="0"/>
    </xf>
    <xf numFmtId="43" fontId="4" fillId="0" borderId="2" xfId="3" applyFont="1" applyFill="1" applyBorder="1" applyAlignment="1" applyProtection="1">
      <alignment horizontal="center" vertical="center" wrapText="1"/>
      <protection locked="0"/>
    </xf>
    <xf numFmtId="43" fontId="14" fillId="8" borderId="4" xfId="3" applyFont="1" applyFill="1" applyBorder="1" applyAlignment="1" applyProtection="1">
      <alignment horizontal="center" vertical="center" wrapText="1"/>
    </xf>
    <xf numFmtId="43" fontId="4" fillId="8" borderId="4" xfId="3" applyFont="1" applyFill="1" applyBorder="1" applyAlignment="1" applyProtection="1">
      <alignment horizontal="center" vertical="center"/>
    </xf>
    <xf numFmtId="43" fontId="4" fillId="8" borderId="2" xfId="3" applyFont="1" applyFill="1" applyBorder="1" applyAlignment="1" applyProtection="1">
      <alignment horizontal="center" vertical="center" wrapText="1"/>
      <protection locked="0"/>
    </xf>
    <xf numFmtId="43" fontId="4" fillId="0" borderId="2" xfId="9" applyNumberFormat="1" applyBorder="1" applyAlignment="1" applyProtection="1">
      <alignment horizontal="center" vertical="center" wrapText="1"/>
      <protection locked="0"/>
    </xf>
    <xf numFmtId="15" fontId="4" fillId="8" borderId="2" xfId="9" applyNumberFormat="1" applyFill="1" applyBorder="1" applyAlignment="1" applyProtection="1">
      <alignment horizontal="center" vertical="center"/>
      <protection locked="0"/>
    </xf>
    <xf numFmtId="43" fontId="4" fillId="0" borderId="2" xfId="3" applyFont="1" applyFill="1" applyBorder="1" applyAlignment="1" applyProtection="1">
      <alignment horizontal="center" vertical="center" wrapText="1"/>
    </xf>
    <xf numFmtId="43" fontId="4" fillId="8" borderId="2" xfId="3" applyFont="1" applyFill="1" applyBorder="1" applyAlignment="1" applyProtection="1">
      <alignment horizontal="center" vertical="center" wrapText="1"/>
    </xf>
    <xf numFmtId="43" fontId="4" fillId="8" borderId="2" xfId="9" applyNumberFormat="1" applyFill="1" applyBorder="1" applyAlignment="1" applyProtection="1">
      <alignment horizontal="center" vertical="center" wrapText="1"/>
      <protection locked="0"/>
    </xf>
    <xf numFmtId="43" fontId="16" fillId="0" borderId="2" xfId="3" applyFont="1" applyFill="1" applyBorder="1" applyAlignment="1" applyProtection="1">
      <alignment horizontal="center" vertical="center" wrapText="1"/>
      <protection locked="0"/>
    </xf>
    <xf numFmtId="0" fontId="4" fillId="0" borderId="0" xfId="9" applyAlignment="1" applyProtection="1">
      <alignment horizontal="center" vertical="center" wrapText="1"/>
      <protection locked="0"/>
    </xf>
    <xf numFmtId="15" fontId="1" fillId="0" borderId="6" xfId="9" applyNumberFormat="1" applyFont="1" applyBorder="1" applyProtection="1">
      <protection locked="0"/>
    </xf>
    <xf numFmtId="0" fontId="1" fillId="0" borderId="0" xfId="9" applyFont="1" applyAlignment="1" applyProtection="1">
      <alignment wrapText="1"/>
      <protection locked="0"/>
    </xf>
    <xf numFmtId="15" fontId="1" fillId="0" borderId="6" xfId="9" applyNumberFormat="1" applyFont="1" applyBorder="1" applyAlignment="1" applyProtection="1">
      <alignment vertical="top"/>
      <protection locked="0"/>
    </xf>
    <xf numFmtId="0" fontId="1" fillId="0" borderId="0" xfId="9" applyFont="1" applyAlignment="1" applyProtection="1">
      <alignment horizontal="center" vertical="top" wrapText="1"/>
      <protection locked="0"/>
    </xf>
    <xf numFmtId="0" fontId="1" fillId="0" borderId="0" xfId="9" applyFont="1" applyAlignment="1" applyProtection="1">
      <alignment vertical="top" wrapText="1"/>
      <protection locked="0"/>
    </xf>
    <xf numFmtId="0" fontId="1" fillId="0" borderId="0" xfId="9" applyFont="1" applyAlignment="1" applyProtection="1">
      <alignment horizontal="center" vertical="top"/>
      <protection locked="0"/>
    </xf>
    <xf numFmtId="0" fontId="1" fillId="0" borderId="0" xfId="9" applyFont="1" applyAlignment="1" applyProtection="1">
      <alignment vertical="top"/>
      <protection locked="0"/>
    </xf>
    <xf numFmtId="43" fontId="1" fillId="0" borderId="0" xfId="3" applyFont="1" applyFill="1" applyBorder="1" applyAlignment="1" applyProtection="1">
      <alignment vertical="top"/>
      <protection locked="0"/>
    </xf>
    <xf numFmtId="43" fontId="1" fillId="0" borderId="8" xfId="3" applyFont="1" applyFill="1" applyBorder="1" applyAlignment="1" applyProtection="1">
      <alignment vertical="top" wrapText="1"/>
      <protection locked="0"/>
    </xf>
    <xf numFmtId="43" fontId="18" fillId="6" borderId="10" xfId="3" applyFont="1" applyFill="1" applyBorder="1" applyAlignment="1" applyProtection="1">
      <alignment horizontal="center" vertical="top"/>
    </xf>
    <xf numFmtId="43" fontId="18" fillId="6" borderId="11" xfId="3" applyFont="1" applyFill="1" applyBorder="1" applyAlignment="1" applyProtection="1">
      <alignment horizontal="center" vertical="top"/>
    </xf>
    <xf numFmtId="43" fontId="1" fillId="0" borderId="0" xfId="3" applyFont="1" applyFill="1" applyBorder="1" applyAlignment="1" applyProtection="1">
      <alignment vertical="top" wrapText="1"/>
      <protection locked="0"/>
    </xf>
    <xf numFmtId="43" fontId="18" fillId="6" borderId="12" xfId="3" applyFont="1" applyFill="1" applyBorder="1" applyAlignment="1" applyProtection="1">
      <alignment horizontal="left" vertical="top" indent="3"/>
    </xf>
    <xf numFmtId="43" fontId="18" fillId="6" borderId="12" xfId="3" applyFont="1" applyFill="1" applyBorder="1" applyAlignment="1" applyProtection="1">
      <alignment horizontal="center" vertical="top"/>
    </xf>
    <xf numFmtId="0" fontId="18" fillId="6" borderId="14" xfId="0" applyFont="1" applyFill="1" applyBorder="1" applyAlignment="1" applyProtection="1">
      <alignment horizontal="center" vertical="top"/>
      <protection locked="0"/>
    </xf>
    <xf numFmtId="43" fontId="18" fillId="6" borderId="15" xfId="3" applyFont="1" applyFill="1" applyBorder="1" applyAlignment="1" applyProtection="1">
      <alignment horizontal="center" vertical="top"/>
    </xf>
    <xf numFmtId="43" fontId="18" fillId="6" borderId="16" xfId="3" applyFont="1" applyFill="1" applyBorder="1" applyAlignment="1" applyProtection="1">
      <alignment horizontal="center" vertical="top"/>
    </xf>
    <xf numFmtId="0" fontId="20" fillId="0" borderId="0" xfId="9" applyFont="1" applyAlignment="1" applyProtection="1">
      <alignment horizontal="center"/>
      <protection locked="0"/>
    </xf>
    <xf numFmtId="43" fontId="21" fillId="0" borderId="0" xfId="3" applyFont="1" applyFill="1" applyBorder="1" applyAlignment="1" applyProtection="1">
      <alignment horizontal="center"/>
      <protection locked="0"/>
    </xf>
    <xf numFmtId="15" fontId="1" fillId="0" borderId="17" xfId="9" applyNumberFormat="1" applyFont="1" applyBorder="1" applyAlignment="1" applyProtection="1">
      <alignment vertical="top"/>
      <protection locked="0"/>
    </xf>
    <xf numFmtId="0" fontId="1" fillId="0" borderId="1" xfId="9" applyFont="1" applyBorder="1" applyAlignment="1" applyProtection="1">
      <alignment vertical="top"/>
      <protection locked="0"/>
    </xf>
    <xf numFmtId="0" fontId="20" fillId="0" borderId="1" xfId="9" applyFont="1" applyBorder="1" applyAlignment="1" applyProtection="1">
      <alignment horizontal="center"/>
      <protection locked="0"/>
    </xf>
    <xf numFmtId="43" fontId="21" fillId="0" borderId="1" xfId="3" applyFont="1" applyFill="1" applyBorder="1" applyAlignment="1" applyProtection="1">
      <alignment horizontal="center"/>
      <protection locked="0"/>
    </xf>
    <xf numFmtId="15" fontId="1" fillId="0" borderId="18" xfId="9" applyNumberFormat="1" applyFont="1" applyBorder="1" applyAlignment="1" applyProtection="1">
      <alignment vertical="top"/>
      <protection locked="0"/>
    </xf>
    <xf numFmtId="0" fontId="1" fillId="0" borderId="5" xfId="9" applyFont="1" applyBorder="1" applyAlignment="1" applyProtection="1">
      <alignment vertical="top"/>
      <protection locked="0"/>
    </xf>
    <xf numFmtId="0" fontId="1" fillId="0" borderId="5" xfId="9" applyFont="1" applyBorder="1" applyAlignment="1" applyProtection="1">
      <alignment vertical="top" wrapText="1"/>
      <protection locked="0"/>
    </xf>
    <xf numFmtId="0" fontId="20" fillId="0" borderId="5" xfId="9" applyFont="1" applyBorder="1" applyAlignment="1" applyProtection="1">
      <alignment horizontal="center"/>
      <protection locked="0"/>
    </xf>
    <xf numFmtId="43" fontId="21" fillId="0" borderId="5" xfId="3" applyFont="1" applyFill="1" applyBorder="1" applyAlignment="1" applyProtection="1">
      <alignment horizontal="center"/>
      <protection locked="0"/>
    </xf>
    <xf numFmtId="0" fontId="1" fillId="0" borderId="19" xfId="9" applyFont="1" applyBorder="1" applyProtection="1">
      <protection locked="0"/>
    </xf>
    <xf numFmtId="0" fontId="23" fillId="0" borderId="0" xfId="9" applyFont="1" applyAlignment="1">
      <alignment horizontal="left"/>
    </xf>
    <xf numFmtId="165" fontId="25" fillId="0" borderId="0" xfId="9" applyNumberFormat="1" applyFont="1" applyAlignment="1">
      <alignment horizontal="center"/>
    </xf>
    <xf numFmtId="43" fontId="0" fillId="0" borderId="0" xfId="3" applyFont="1" applyFill="1" applyAlignment="1">
      <alignment horizontal="center"/>
    </xf>
    <xf numFmtId="0" fontId="17" fillId="0" borderId="0" xfId="9" applyFont="1" applyAlignment="1" applyProtection="1">
      <alignment vertical="top" wrapText="1"/>
      <protection locked="0"/>
    </xf>
    <xf numFmtId="43" fontId="26" fillId="0" borderId="0" xfId="3" applyFont="1" applyFill="1" applyBorder="1" applyAlignment="1" applyProtection="1">
      <alignment vertical="top"/>
    </xf>
    <xf numFmtId="0" fontId="26" fillId="0" borderId="0" xfId="9" applyFont="1" applyAlignment="1" applyProtection="1">
      <alignment vertical="top"/>
      <protection locked="0"/>
    </xf>
    <xf numFmtId="43" fontId="26" fillId="0" borderId="0" xfId="9" applyNumberFormat="1" applyFont="1" applyAlignment="1">
      <alignment vertical="top"/>
    </xf>
    <xf numFmtId="164" fontId="26" fillId="0" borderId="0" xfId="9" applyNumberFormat="1" applyFont="1" applyAlignment="1">
      <alignment vertical="top"/>
    </xf>
    <xf numFmtId="0" fontId="22" fillId="0" borderId="0" xfId="9" applyFont="1" applyAlignment="1">
      <alignment vertical="top"/>
    </xf>
    <xf numFmtId="165" fontId="18" fillId="0" borderId="0" xfId="9" applyNumberFormat="1" applyFont="1" applyAlignment="1" applyProtection="1">
      <alignment horizontal="center" vertical="top"/>
      <protection locked="0"/>
    </xf>
    <xf numFmtId="0" fontId="27" fillId="0" borderId="0" xfId="9" applyFont="1" applyAlignment="1">
      <alignment horizontal="right"/>
    </xf>
    <xf numFmtId="0" fontId="22" fillId="0" borderId="0" xfId="0" applyFont="1"/>
    <xf numFmtId="0" fontId="22" fillId="0" borderId="0" xfId="9" applyFont="1"/>
    <xf numFmtId="43" fontId="28" fillId="0" borderId="0" xfId="3" applyFont="1" applyFill="1" applyBorder="1" applyAlignment="1" applyProtection="1">
      <alignment vertical="top"/>
      <protection locked="0"/>
    </xf>
    <xf numFmtId="43" fontId="28" fillId="0" borderId="0" xfId="3" applyFont="1" applyFill="1" applyBorder="1" applyAlignment="1" applyProtection="1">
      <alignment vertical="top" wrapText="1"/>
      <protection locked="0"/>
    </xf>
    <xf numFmtId="0" fontId="27" fillId="0" borderId="0" xfId="0" applyFont="1" applyAlignment="1">
      <alignment horizontal="right"/>
    </xf>
    <xf numFmtId="0" fontId="23" fillId="0" borderId="0" xfId="0" applyFont="1"/>
    <xf numFmtId="0" fontId="23" fillId="0" borderId="21" xfId="0" applyFont="1" applyBorder="1"/>
    <xf numFmtId="43" fontId="29" fillId="0" borderId="0" xfId="3" applyFont="1" applyFill="1" applyBorder="1" applyAlignment="1" applyProtection="1">
      <alignment vertical="top"/>
      <protection locked="0"/>
    </xf>
    <xf numFmtId="43" fontId="1" fillId="0" borderId="0" xfId="9" applyNumberFormat="1" applyFont="1" applyProtection="1">
      <protection locked="0"/>
    </xf>
    <xf numFmtId="43" fontId="29" fillId="0" borderId="1" xfId="3" applyFont="1" applyFill="1" applyBorder="1" applyAlignment="1" applyProtection="1">
      <alignment vertical="top"/>
      <protection locked="0"/>
    </xf>
    <xf numFmtId="0" fontId="1" fillId="0" borderId="1" xfId="9" applyFont="1" applyBorder="1" applyProtection="1">
      <protection locked="0"/>
    </xf>
    <xf numFmtId="43" fontId="29" fillId="0" borderId="5" xfId="3" applyFont="1" applyFill="1" applyBorder="1" applyAlignment="1" applyProtection="1">
      <alignment vertical="top"/>
      <protection locked="0"/>
    </xf>
    <xf numFmtId="0" fontId="1" fillId="0" borderId="5" xfId="9" applyFont="1" applyBorder="1" applyProtection="1">
      <protection locked="0"/>
    </xf>
    <xf numFmtId="0" fontId="22" fillId="0" borderId="0" xfId="9" applyFont="1" applyAlignment="1" applyProtection="1">
      <alignment horizontal="left"/>
      <protection locked="0"/>
    </xf>
    <xf numFmtId="0" fontId="17" fillId="0" borderId="0" xfId="9" applyFont="1" applyAlignment="1">
      <alignment horizontal="left"/>
    </xf>
    <xf numFmtId="0" fontId="17" fillId="0" borderId="1" xfId="9" applyFont="1" applyBorder="1" applyProtection="1">
      <protection locked="0"/>
    </xf>
    <xf numFmtId="0" fontId="1" fillId="0" borderId="0" xfId="0" applyFont="1" applyProtection="1">
      <protection locked="0"/>
    </xf>
    <xf numFmtId="43" fontId="4" fillId="0" borderId="0" xfId="9" applyNumberFormat="1"/>
    <xf numFmtId="0" fontId="1" fillId="0" borderId="19" xfId="9" applyFont="1" applyBorder="1" applyAlignment="1" applyProtection="1">
      <alignment vertical="top" wrapText="1"/>
      <protection locked="0"/>
    </xf>
    <xf numFmtId="0" fontId="1" fillId="0" borderId="23" xfId="9" applyFont="1" applyBorder="1" applyAlignment="1" applyProtection="1">
      <alignment vertical="top" wrapText="1"/>
      <protection locked="0"/>
    </xf>
    <xf numFmtId="0" fontId="1" fillId="0" borderId="22" xfId="9" applyFont="1" applyBorder="1" applyAlignment="1" applyProtection="1">
      <alignment vertical="top" wrapText="1"/>
      <protection locked="0"/>
    </xf>
    <xf numFmtId="0" fontId="17" fillId="0" borderId="23" xfId="9" applyFont="1" applyBorder="1" applyAlignment="1" applyProtection="1">
      <alignment vertical="top" wrapText="1"/>
      <protection locked="0"/>
    </xf>
    <xf numFmtId="0" fontId="1" fillId="0" borderId="0" xfId="0" applyFont="1" applyAlignment="1">
      <alignment horizontal="center"/>
    </xf>
    <xf numFmtId="0" fontId="1" fillId="8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30" fillId="10" borderId="2" xfId="0" applyFont="1" applyFill="1" applyBorder="1" applyAlignment="1">
      <alignment horizontal="center" vertical="center" wrapText="1"/>
    </xf>
    <xf numFmtId="15" fontId="1" fillId="0" borderId="2" xfId="0" applyNumberFormat="1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2" xfId="9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15" fontId="1" fillId="8" borderId="2" xfId="0" applyNumberFormat="1" applyFont="1" applyFill="1" applyBorder="1" applyAlignment="1" applyProtection="1">
      <alignment horizontal="center" vertical="top"/>
      <protection locked="0"/>
    </xf>
    <xf numFmtId="0" fontId="1" fillId="8" borderId="2" xfId="0" applyFont="1" applyFill="1" applyBorder="1" applyAlignment="1" applyProtection="1">
      <alignment horizontal="center" vertical="top" wrapText="1"/>
      <protection locked="0"/>
    </xf>
    <xf numFmtId="0" fontId="1" fillId="8" borderId="2" xfId="9" applyFont="1" applyFill="1" applyBorder="1" applyAlignment="1" applyProtection="1">
      <alignment horizontal="center" vertical="top" wrapText="1"/>
      <protection locked="0"/>
    </xf>
    <xf numFmtId="0" fontId="1" fillId="8" borderId="2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0" fontId="1" fillId="8" borderId="2" xfId="0" applyFont="1" applyFill="1" applyBorder="1" applyAlignment="1" applyProtection="1">
      <alignment vertical="top" wrapText="1"/>
      <protection locked="0"/>
    </xf>
    <xf numFmtId="15" fontId="1" fillId="0" borderId="18" xfId="0" applyNumberFormat="1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left" wrapText="1" indent="2"/>
      <protection locked="0"/>
    </xf>
    <xf numFmtId="15" fontId="1" fillId="0" borderId="6" xfId="0" applyNumberFormat="1" applyFont="1" applyBorder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15" fontId="1" fillId="0" borderId="6" xfId="0" applyNumberFormat="1" applyFont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6" fillId="7" borderId="24" xfId="0" applyFont="1" applyFill="1" applyBorder="1" applyAlignment="1" applyProtection="1">
      <alignment horizontal="center" vertical="top"/>
      <protection locked="0"/>
    </xf>
    <xf numFmtId="0" fontId="18" fillId="7" borderId="25" xfId="0" applyFont="1" applyFill="1" applyBorder="1" applyAlignment="1" applyProtection="1">
      <alignment horizontal="center" vertical="top" wrapText="1"/>
      <protection locked="0"/>
    </xf>
    <xf numFmtId="0" fontId="18" fillId="7" borderId="26" xfId="0" applyFont="1" applyFill="1" applyBorder="1" applyAlignment="1" applyProtection="1">
      <alignment horizontal="center" vertical="top" wrapText="1"/>
      <protection locked="0"/>
    </xf>
    <xf numFmtId="43" fontId="1" fillId="0" borderId="0" xfId="7" applyFont="1" applyFill="1" applyBorder="1" applyAlignment="1" applyProtection="1">
      <alignment horizontal="center" vertical="top"/>
      <protection locked="0"/>
    </xf>
    <xf numFmtId="43" fontId="1" fillId="0" borderId="0" xfId="7" applyFont="1" applyFill="1" applyBorder="1" applyAlignment="1" applyProtection="1">
      <alignment vertical="top" wrapText="1"/>
      <protection locked="0"/>
    </xf>
    <xf numFmtId="43" fontId="18" fillId="6" borderId="27" xfId="8" applyFont="1" applyFill="1" applyBorder="1" applyAlignment="1" applyProtection="1">
      <alignment horizontal="center" vertical="top"/>
    </xf>
    <xf numFmtId="43" fontId="18" fillId="6" borderId="28" xfId="8" applyFont="1" applyFill="1" applyBorder="1" applyAlignment="1" applyProtection="1">
      <alignment horizontal="center" vertical="top"/>
    </xf>
    <xf numFmtId="0" fontId="9" fillId="0" borderId="0" xfId="0" applyFont="1" applyAlignment="1" applyProtection="1">
      <alignment horizontal="left" vertical="center"/>
      <protection locked="0"/>
    </xf>
    <xf numFmtId="43" fontId="1" fillId="0" borderId="2" xfId="7" applyFont="1" applyFill="1" applyBorder="1" applyAlignment="1" applyProtection="1">
      <alignment vertical="top" wrapText="1"/>
      <protection locked="0"/>
    </xf>
    <xf numFmtId="2" fontId="1" fillId="0" borderId="2" xfId="0" applyNumberFormat="1" applyFont="1" applyBorder="1" applyAlignment="1" applyProtection="1">
      <alignment horizontal="center" vertical="top" wrapText="1"/>
      <protection locked="0"/>
    </xf>
    <xf numFmtId="43" fontId="1" fillId="0" borderId="2" xfId="7" applyFont="1" applyFill="1" applyBorder="1" applyAlignment="1" applyProtection="1">
      <alignment vertical="top"/>
      <protection locked="0"/>
    </xf>
    <xf numFmtId="43" fontId="26" fillId="0" borderId="2" xfId="0" applyNumberFormat="1" applyFont="1" applyBorder="1" applyAlignment="1">
      <alignment vertical="top"/>
    </xf>
    <xf numFmtId="164" fontId="26" fillId="0" borderId="2" xfId="0" applyNumberFormat="1" applyFont="1" applyBorder="1" applyAlignment="1">
      <alignment horizontal="center" vertical="top"/>
    </xf>
    <xf numFmtId="43" fontId="26" fillId="0" borderId="2" xfId="8" applyFont="1" applyFill="1" applyBorder="1" applyAlignment="1" applyProtection="1">
      <alignment vertical="top"/>
    </xf>
    <xf numFmtId="43" fontId="26" fillId="0" borderId="2" xfId="7" applyFont="1" applyFill="1" applyBorder="1" applyAlignment="1" applyProtection="1">
      <alignment vertical="top"/>
    </xf>
    <xf numFmtId="43" fontId="1" fillId="8" borderId="2" xfId="7" applyFont="1" applyFill="1" applyBorder="1" applyAlignment="1" applyProtection="1">
      <alignment vertical="top" wrapText="1"/>
      <protection locked="0"/>
    </xf>
    <xf numFmtId="2" fontId="1" fillId="8" borderId="2" xfId="0" applyNumberFormat="1" applyFont="1" applyFill="1" applyBorder="1" applyAlignment="1" applyProtection="1">
      <alignment horizontal="center" vertical="top" wrapText="1"/>
      <protection locked="0"/>
    </xf>
    <xf numFmtId="43" fontId="1" fillId="8" borderId="2" xfId="7" applyFont="1" applyFill="1" applyBorder="1" applyAlignment="1" applyProtection="1">
      <alignment vertical="top"/>
      <protection locked="0"/>
    </xf>
    <xf numFmtId="43" fontId="26" fillId="8" borderId="2" xfId="0" applyNumberFormat="1" applyFont="1" applyFill="1" applyBorder="1" applyAlignment="1">
      <alignment vertical="top"/>
    </xf>
    <xf numFmtId="164" fontId="26" fillId="8" borderId="2" xfId="0" applyNumberFormat="1" applyFont="1" applyFill="1" applyBorder="1" applyAlignment="1">
      <alignment horizontal="center" vertical="top"/>
    </xf>
    <xf numFmtId="164" fontId="26" fillId="5" borderId="2" xfId="0" applyNumberFormat="1" applyFont="1" applyFill="1" applyBorder="1" applyAlignment="1">
      <alignment horizontal="center" vertical="top"/>
    </xf>
    <xf numFmtId="43" fontId="26" fillId="0" borderId="2" xfId="8" applyFont="1" applyFill="1" applyBorder="1" applyAlignment="1" applyProtection="1">
      <alignment horizontal="center" vertical="top" wrapText="1"/>
    </xf>
    <xf numFmtId="43" fontId="1" fillId="0" borderId="2" xfId="8" applyFont="1" applyFill="1" applyBorder="1" applyAlignment="1" applyProtection="1">
      <alignment vertical="top"/>
      <protection locked="0"/>
    </xf>
    <xf numFmtId="43" fontId="26" fillId="8" borderId="2" xfId="8" applyFont="1" applyFill="1" applyBorder="1" applyAlignment="1" applyProtection="1">
      <alignment horizontal="center" vertical="top" wrapText="1"/>
    </xf>
    <xf numFmtId="43" fontId="1" fillId="8" borderId="2" xfId="8" applyFont="1" applyFill="1" applyBorder="1" applyAlignment="1" applyProtection="1">
      <alignment vertical="top"/>
      <protection locked="0"/>
    </xf>
    <xf numFmtId="43" fontId="26" fillId="8" borderId="2" xfId="8" applyFont="1" applyFill="1" applyBorder="1" applyAlignment="1" applyProtection="1">
      <alignment vertical="top"/>
    </xf>
    <xf numFmtId="43" fontId="26" fillId="0" borderId="2" xfId="3" applyFont="1" applyFill="1" applyBorder="1" applyAlignment="1" applyProtection="1">
      <alignment horizontal="center" vertical="top" wrapText="1"/>
    </xf>
    <xf numFmtId="43" fontId="1" fillId="8" borderId="2" xfId="8" applyFont="1" applyFill="1" applyBorder="1" applyAlignment="1" applyProtection="1">
      <alignment vertical="top"/>
    </xf>
    <xf numFmtId="43" fontId="26" fillId="0" borderId="2" xfId="3" applyFont="1" applyFill="1" applyBorder="1" applyAlignment="1" applyProtection="1">
      <alignment vertical="top"/>
    </xf>
    <xf numFmtId="43" fontId="16" fillId="0" borderId="0" xfId="7" applyFont="1" applyFill="1" applyBorder="1" applyAlignment="1" applyProtection="1">
      <protection locked="0"/>
    </xf>
    <xf numFmtId="43" fontId="1" fillId="0" borderId="0" xfId="7" applyFont="1" applyFill="1" applyBorder="1" applyAlignment="1" applyProtection="1">
      <protection locked="0"/>
    </xf>
    <xf numFmtId="0" fontId="26" fillId="0" borderId="0" xfId="0" applyFont="1" applyProtection="1">
      <protection locked="0"/>
    </xf>
    <xf numFmtId="43" fontId="26" fillId="0" borderId="0" xfId="7" applyFont="1" applyFill="1" applyBorder="1" applyAlignment="1" applyProtection="1"/>
    <xf numFmtId="43" fontId="1" fillId="0" borderId="0" xfId="7" applyFont="1" applyFill="1" applyBorder="1" applyAlignment="1" applyProtection="1">
      <alignment vertical="top"/>
      <protection locked="0"/>
    </xf>
    <xf numFmtId="0" fontId="26" fillId="0" borderId="0" xfId="0" applyFont="1" applyAlignment="1" applyProtection="1">
      <alignment vertical="top"/>
      <protection locked="0"/>
    </xf>
    <xf numFmtId="43" fontId="26" fillId="0" borderId="0" xfId="0" applyNumberFormat="1" applyFont="1" applyAlignment="1">
      <alignment vertical="top"/>
    </xf>
    <xf numFmtId="164" fontId="26" fillId="0" borderId="0" xfId="0" applyNumberFormat="1" applyFont="1" applyAlignment="1">
      <alignment vertical="top"/>
    </xf>
    <xf numFmtId="43" fontId="26" fillId="0" borderId="0" xfId="7" applyFont="1" applyFill="1" applyBorder="1" applyAlignment="1" applyProtection="1">
      <alignment vertical="top"/>
    </xf>
    <xf numFmtId="0" fontId="32" fillId="0" borderId="0" xfId="0" applyFont="1" applyAlignment="1" applyProtection="1">
      <alignment horizontal="center" vertical="top"/>
      <protection locked="0"/>
    </xf>
    <xf numFmtId="43" fontId="20" fillId="0" borderId="0" xfId="0" applyNumberFormat="1" applyFont="1" applyAlignment="1" applyProtection="1">
      <alignment horizontal="center" vertical="top" wrapText="1"/>
      <protection locked="0"/>
    </xf>
    <xf numFmtId="43" fontId="28" fillId="0" borderId="0" xfId="7" applyFont="1" applyFill="1" applyBorder="1" applyAlignment="1" applyProtection="1">
      <alignment vertical="top"/>
      <protection locked="0"/>
    </xf>
    <xf numFmtId="43" fontId="28" fillId="0" borderId="0" xfId="7" applyFont="1" applyFill="1" applyBorder="1" applyAlignment="1" applyProtection="1">
      <alignment vertical="top" wrapText="1"/>
      <protection locked="0"/>
    </xf>
    <xf numFmtId="0" fontId="16" fillId="0" borderId="0" xfId="0" applyFont="1"/>
    <xf numFmtId="0" fontId="16" fillId="0" borderId="0" xfId="9" applyFont="1"/>
    <xf numFmtId="0" fontId="1" fillId="0" borderId="22" xfId="0" applyFont="1" applyBorder="1" applyAlignment="1" applyProtection="1">
      <alignment wrapText="1"/>
      <protection locked="0"/>
    </xf>
    <xf numFmtId="0" fontId="1" fillId="0" borderId="19" xfId="0" applyFont="1" applyBorder="1" applyAlignment="1" applyProtection="1">
      <alignment wrapText="1"/>
      <protection locked="0"/>
    </xf>
    <xf numFmtId="0" fontId="1" fillId="0" borderId="19" xfId="0" applyFont="1" applyBorder="1" applyAlignment="1" applyProtection="1">
      <alignment vertical="top" wrapText="1"/>
      <protection locked="0"/>
    </xf>
    <xf numFmtId="0" fontId="18" fillId="6" borderId="29" xfId="0" applyFont="1" applyFill="1" applyBorder="1" applyAlignment="1" applyProtection="1">
      <alignment horizontal="center" vertical="top"/>
      <protection locked="0"/>
    </xf>
    <xf numFmtId="43" fontId="18" fillId="6" borderId="30" xfId="8" applyFont="1" applyFill="1" applyBorder="1" applyAlignment="1" applyProtection="1">
      <alignment horizontal="center" vertical="top"/>
    </xf>
    <xf numFmtId="43" fontId="18" fillId="6" borderId="31" xfId="8" applyFont="1" applyFill="1" applyBorder="1" applyAlignment="1" applyProtection="1">
      <alignment horizontal="center" vertical="top"/>
    </xf>
    <xf numFmtId="0" fontId="18" fillId="6" borderId="24" xfId="0" applyFont="1" applyFill="1" applyBorder="1" applyAlignment="1" applyProtection="1">
      <alignment horizontal="center" vertical="top"/>
      <protection locked="0"/>
    </xf>
    <xf numFmtId="43" fontId="18" fillId="6" borderId="25" xfId="8" applyFont="1" applyFill="1" applyBorder="1" applyAlignment="1" applyProtection="1">
      <alignment horizontal="center" vertical="top"/>
    </xf>
    <xf numFmtId="43" fontId="18" fillId="6" borderId="26" xfId="8" applyFont="1" applyFill="1" applyBorder="1" applyAlignment="1" applyProtection="1">
      <alignment horizontal="center" vertical="top"/>
    </xf>
    <xf numFmtId="43" fontId="18" fillId="6" borderId="32" xfId="8" applyFont="1" applyFill="1" applyBorder="1" applyAlignment="1" applyProtection="1">
      <alignment horizontal="center" vertical="top"/>
    </xf>
    <xf numFmtId="0" fontId="18" fillId="6" borderId="33" xfId="0" applyFont="1" applyFill="1" applyBorder="1" applyAlignment="1" applyProtection="1">
      <alignment horizontal="center" vertical="top"/>
      <protection locked="0"/>
    </xf>
    <xf numFmtId="43" fontId="18" fillId="6" borderId="15" xfId="8" applyFont="1" applyFill="1" applyBorder="1" applyAlignment="1" applyProtection="1">
      <alignment horizontal="center" vertical="top"/>
    </xf>
    <xf numFmtId="43" fontId="18" fillId="6" borderId="15" xfId="8" applyFont="1" applyFill="1" applyBorder="1" applyAlignment="1" applyProtection="1">
      <alignment horizontal="left" indent="14"/>
    </xf>
    <xf numFmtId="43" fontId="18" fillId="6" borderId="31" xfId="8" applyFont="1" applyFill="1" applyBorder="1" applyAlignment="1" applyProtection="1">
      <alignment horizontal="left" vertical="top" indent="14"/>
    </xf>
    <xf numFmtId="43" fontId="18" fillId="6" borderId="27" xfId="8" applyFont="1" applyFill="1" applyBorder="1" applyAlignment="1" applyProtection="1">
      <alignment horizontal="left" indent="14"/>
    </xf>
    <xf numFmtId="43" fontId="18" fillId="6" borderId="28" xfId="8" applyFont="1" applyFill="1" applyBorder="1" applyAlignment="1" applyProtection="1">
      <alignment horizontal="left" vertical="top" indent="14"/>
    </xf>
    <xf numFmtId="43" fontId="18" fillId="6" borderId="25" xfId="8" applyFont="1" applyFill="1" applyBorder="1" applyAlignment="1" applyProtection="1">
      <alignment horizontal="left" indent="7"/>
    </xf>
    <xf numFmtId="43" fontId="18" fillId="6" borderId="26" xfId="8" applyFont="1" applyFill="1" applyBorder="1" applyAlignment="1" applyProtection="1">
      <alignment horizontal="left" vertical="top" indent="8"/>
    </xf>
    <xf numFmtId="0" fontId="19" fillId="7" borderId="14" xfId="9" applyFont="1" applyFill="1" applyBorder="1" applyAlignment="1" applyProtection="1">
      <alignment horizontal="center"/>
      <protection locked="0"/>
    </xf>
    <xf numFmtId="43" fontId="19" fillId="7" borderId="27" xfId="3" applyFont="1" applyFill="1" applyBorder="1" applyAlignment="1" applyProtection="1">
      <alignment horizontal="center"/>
    </xf>
    <xf numFmtId="43" fontId="19" fillId="7" borderId="28" xfId="3" applyFont="1" applyFill="1" applyBorder="1" applyAlignment="1" applyProtection="1">
      <alignment horizontal="center"/>
    </xf>
    <xf numFmtId="0" fontId="33" fillId="0" borderId="0" xfId="9" applyFont="1" applyAlignment="1" applyProtection="1">
      <alignment horizontal="center"/>
      <protection locked="0"/>
    </xf>
    <xf numFmtId="43" fontId="33" fillId="0" borderId="0" xfId="3" applyFont="1" applyFill="1" applyBorder="1" applyAlignment="1" applyProtection="1">
      <alignment horizontal="center"/>
      <protection locked="0"/>
    </xf>
    <xf numFmtId="15" fontId="1" fillId="0" borderId="18" xfId="0" applyNumberFormat="1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20" fillId="0" borderId="1" xfId="0" applyFont="1" applyBorder="1" applyAlignment="1" applyProtection="1">
      <alignment horizontal="center"/>
      <protection locked="0"/>
    </xf>
    <xf numFmtId="43" fontId="21" fillId="0" borderId="1" xfId="7" applyFont="1" applyFill="1" applyBorder="1" applyAlignment="1" applyProtection="1">
      <alignment horizontal="center"/>
      <protection locked="0"/>
    </xf>
    <xf numFmtId="165" fontId="25" fillId="0" borderId="0" xfId="0" applyNumberFormat="1" applyFont="1" applyAlignment="1">
      <alignment horizontal="center"/>
    </xf>
    <xf numFmtId="0" fontId="17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vertical="top"/>
      <protection locked="0"/>
    </xf>
    <xf numFmtId="43" fontId="14" fillId="0" borderId="0" xfId="0" applyNumberFormat="1" applyFont="1" applyAlignment="1">
      <alignment vertical="top"/>
    </xf>
    <xf numFmtId="164" fontId="14" fillId="0" borderId="0" xfId="0" applyNumberFormat="1" applyFont="1" applyAlignment="1">
      <alignment vertical="top"/>
    </xf>
    <xf numFmtId="0" fontId="3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43" fontId="35" fillId="0" borderId="0" xfId="1" applyFont="1" applyFill="1" applyBorder="1" applyAlignment="1" applyProtection="1">
      <alignment vertical="top"/>
      <protection locked="0"/>
    </xf>
    <xf numFmtId="43" fontId="29" fillId="0" borderId="0" xfId="7" applyFont="1" applyFill="1" applyBorder="1" applyAlignment="1" applyProtection="1">
      <alignment vertical="top"/>
      <protection locked="0"/>
    </xf>
    <xf numFmtId="43" fontId="29" fillId="0" borderId="5" xfId="7" applyFont="1" applyFill="1" applyBorder="1" applyAlignment="1" applyProtection="1">
      <alignment vertical="top"/>
      <protection locked="0"/>
    </xf>
    <xf numFmtId="0" fontId="1" fillId="0" borderId="5" xfId="0" applyFont="1" applyBorder="1" applyProtection="1">
      <protection locked="0"/>
    </xf>
    <xf numFmtId="0" fontId="1" fillId="0" borderId="22" xfId="0" applyFont="1" applyBorder="1" applyAlignment="1" applyProtection="1">
      <alignment vertical="top" wrapText="1"/>
      <protection locked="0"/>
    </xf>
    <xf numFmtId="0" fontId="1" fillId="0" borderId="23" xfId="0" applyFont="1" applyBorder="1" applyAlignment="1" applyProtection="1">
      <alignment vertical="top" wrapText="1"/>
      <protection locked="0"/>
    </xf>
    <xf numFmtId="0" fontId="30" fillId="10" borderId="2" xfId="9" applyFont="1" applyFill="1" applyBorder="1" applyAlignment="1">
      <alignment horizontal="center" vertical="center" wrapText="1"/>
    </xf>
    <xf numFmtId="14" fontId="1" fillId="0" borderId="2" xfId="9" applyNumberFormat="1" applyFont="1" applyBorder="1" applyProtection="1">
      <protection locked="0"/>
    </xf>
    <xf numFmtId="43" fontId="1" fillId="0" borderId="2" xfId="3" applyFont="1" applyFill="1" applyBorder="1" applyAlignment="1" applyProtection="1">
      <alignment wrapText="1"/>
      <protection locked="0"/>
    </xf>
    <xf numFmtId="43" fontId="1" fillId="0" borderId="2" xfId="3" applyFont="1" applyFill="1" applyBorder="1" applyAlignment="1" applyProtection="1">
      <alignment horizontal="center" wrapText="1"/>
      <protection locked="0"/>
    </xf>
    <xf numFmtId="15" fontId="1" fillId="0" borderId="18" xfId="9" applyNumberFormat="1" applyFont="1" applyBorder="1" applyProtection="1">
      <protection locked="0"/>
    </xf>
    <xf numFmtId="0" fontId="17" fillId="7" borderId="14" xfId="9" applyFont="1" applyFill="1" applyBorder="1" applyAlignment="1" applyProtection="1">
      <alignment horizontal="center" vertical="top"/>
      <protection locked="0"/>
    </xf>
    <xf numFmtId="0" fontId="18" fillId="7" borderId="27" xfId="9" applyFont="1" applyFill="1" applyBorder="1" applyAlignment="1" applyProtection="1">
      <alignment horizontal="center" vertical="top" wrapText="1"/>
      <protection locked="0"/>
    </xf>
    <xf numFmtId="0" fontId="18" fillId="7" borderId="28" xfId="9" applyFont="1" applyFill="1" applyBorder="1" applyAlignment="1" applyProtection="1">
      <alignment horizontal="center" vertical="top" wrapText="1"/>
      <protection locked="0"/>
    </xf>
    <xf numFmtId="0" fontId="18" fillId="6" borderId="14" xfId="9" applyFont="1" applyFill="1" applyBorder="1" applyAlignment="1" applyProtection="1">
      <alignment horizontal="center" vertical="top"/>
      <protection locked="0"/>
    </xf>
    <xf numFmtId="43" fontId="18" fillId="6" borderId="27" xfId="3" applyFont="1" applyFill="1" applyBorder="1" applyAlignment="1" applyProtection="1">
      <alignment horizontal="center" vertical="top"/>
    </xf>
    <xf numFmtId="0" fontId="18" fillId="6" borderId="29" xfId="9" applyFont="1" applyFill="1" applyBorder="1" applyAlignment="1" applyProtection="1">
      <alignment horizontal="center" vertical="top"/>
      <protection locked="0"/>
    </xf>
    <xf numFmtId="43" fontId="18" fillId="6" borderId="30" xfId="3" applyFont="1" applyFill="1" applyBorder="1" applyAlignment="1" applyProtection="1">
      <alignment horizontal="left" vertical="center" indent="6"/>
    </xf>
    <xf numFmtId="43" fontId="18" fillId="6" borderId="27" xfId="3" applyFont="1" applyFill="1" applyBorder="1" applyAlignment="1" applyProtection="1">
      <alignment horizontal="center" vertical="center"/>
    </xf>
    <xf numFmtId="43" fontId="18" fillId="6" borderId="28" xfId="3" applyFont="1" applyFill="1" applyBorder="1" applyAlignment="1" applyProtection="1">
      <alignment horizontal="left" vertical="center" indent="6"/>
    </xf>
    <xf numFmtId="0" fontId="18" fillId="6" borderId="34" xfId="9" applyFont="1" applyFill="1" applyBorder="1" applyAlignment="1" applyProtection="1">
      <alignment horizontal="center" vertical="top"/>
      <protection locked="0"/>
    </xf>
    <xf numFmtId="43" fontId="18" fillId="6" borderId="27" xfId="3" applyFont="1" applyFill="1" applyBorder="1" applyAlignment="1" applyProtection="1">
      <alignment horizontal="left" vertical="center" indent="6"/>
    </xf>
    <xf numFmtId="43" fontId="19" fillId="7" borderId="26" xfId="3" applyFont="1" applyFill="1" applyBorder="1" applyAlignment="1" applyProtection="1">
      <alignment horizontal="center"/>
    </xf>
    <xf numFmtId="0" fontId="36" fillId="0" borderId="6" xfId="9" applyFont="1" applyBorder="1"/>
    <xf numFmtId="0" fontId="36" fillId="0" borderId="0" xfId="9" applyFont="1"/>
    <xf numFmtId="0" fontId="37" fillId="0" borderId="0" xfId="9" applyFont="1"/>
    <xf numFmtId="43" fontId="20" fillId="0" borderId="0" xfId="3" applyFont="1" applyFill="1" applyBorder="1" applyAlignment="1" applyProtection="1">
      <alignment horizontal="center"/>
      <protection locked="0"/>
    </xf>
    <xf numFmtId="165" fontId="38" fillId="0" borderId="0" xfId="9" applyNumberFormat="1" applyFont="1" applyProtection="1">
      <protection locked="0"/>
    </xf>
    <xf numFmtId="43" fontId="39" fillId="0" borderId="0" xfId="3" applyFont="1" applyFill="1" applyBorder="1" applyAlignment="1" applyProtection="1">
      <alignment horizontal="left"/>
      <protection locked="0"/>
    </xf>
    <xf numFmtId="4" fontId="1" fillId="0" borderId="1" xfId="9" applyNumberFormat="1" applyFont="1" applyBorder="1" applyAlignment="1" applyProtection="1">
      <alignment vertical="top" wrapText="1"/>
      <protection locked="0"/>
    </xf>
    <xf numFmtId="43" fontId="17" fillId="0" borderId="2" xfId="3" applyFont="1" applyFill="1" applyBorder="1" applyAlignment="1" applyProtection="1">
      <alignment wrapText="1"/>
      <protection locked="0"/>
    </xf>
    <xf numFmtId="43" fontId="1" fillId="0" borderId="2" xfId="9" applyNumberFormat="1" applyFont="1" applyBorder="1" applyAlignment="1" applyProtection="1">
      <alignment wrapText="1"/>
      <protection locked="0"/>
    </xf>
    <xf numFmtId="43" fontId="21" fillId="0" borderId="0" xfId="3" applyFont="1" applyFill="1" applyBorder="1" applyAlignment="1" applyProtection="1">
      <alignment vertical="top"/>
      <protection locked="0"/>
    </xf>
    <xf numFmtId="43" fontId="21" fillId="0" borderId="0" xfId="3" applyFont="1" applyFill="1" applyBorder="1" applyAlignment="1" applyProtection="1">
      <alignment vertical="top" wrapText="1"/>
      <protection locked="0"/>
    </xf>
    <xf numFmtId="43" fontId="14" fillId="0" borderId="0" xfId="3" applyFont="1" applyFill="1" applyBorder="1" applyAlignment="1" applyProtection="1">
      <alignment vertical="top"/>
    </xf>
    <xf numFmtId="0" fontId="4" fillId="0" borderId="0" xfId="9" applyAlignment="1" applyProtection="1">
      <alignment vertical="top" wrapText="1"/>
      <protection locked="0"/>
    </xf>
    <xf numFmtId="43" fontId="4" fillId="0" borderId="0" xfId="9" applyNumberFormat="1" applyProtection="1">
      <protection locked="0"/>
    </xf>
    <xf numFmtId="0" fontId="4" fillId="0" borderId="0" xfId="9" applyProtection="1">
      <protection locked="0"/>
    </xf>
    <xf numFmtId="165" fontId="1" fillId="0" borderId="0" xfId="9" applyNumberFormat="1" applyFont="1" applyProtection="1">
      <protection locked="0"/>
    </xf>
    <xf numFmtId="0" fontId="4" fillId="0" borderId="19" xfId="9" applyBorder="1" applyProtection="1">
      <protection locked="0"/>
    </xf>
    <xf numFmtId="0" fontId="1" fillId="0" borderId="23" xfId="9" applyFont="1" applyBorder="1" applyProtection="1">
      <protection locked="0"/>
    </xf>
    <xf numFmtId="0" fontId="1" fillId="8" borderId="0" xfId="9" applyFont="1" applyFill="1" applyProtection="1">
      <protection locked="0"/>
    </xf>
    <xf numFmtId="0" fontId="1" fillId="2" borderId="0" xfId="9" applyFont="1" applyFill="1" applyProtection="1">
      <protection locked="0"/>
    </xf>
    <xf numFmtId="0" fontId="5" fillId="0" borderId="0" xfId="9" applyFont="1" applyAlignment="1" applyProtection="1">
      <alignment horizontal="center"/>
      <protection locked="0"/>
    </xf>
    <xf numFmtId="0" fontId="40" fillId="0" borderId="0" xfId="9" applyFont="1" applyAlignment="1" applyProtection="1">
      <alignment horizontal="left"/>
      <protection locked="0"/>
    </xf>
    <xf numFmtId="0" fontId="9" fillId="0" borderId="0" xfId="9" applyFont="1" applyAlignment="1" applyProtection="1">
      <alignment horizontal="center" vertical="center"/>
      <protection locked="0"/>
    </xf>
    <xf numFmtId="0" fontId="9" fillId="0" borderId="1" xfId="9" applyFont="1" applyBorder="1" applyAlignment="1" applyProtection="1">
      <alignment horizontal="center" vertical="center"/>
      <protection locked="0"/>
    </xf>
    <xf numFmtId="0" fontId="1" fillId="0" borderId="5" xfId="9" applyFont="1" applyBorder="1" applyAlignment="1" applyProtection="1">
      <alignment horizontal="center" wrapText="1"/>
      <protection locked="0"/>
    </xf>
    <xf numFmtId="0" fontId="31" fillId="0" borderId="0" xfId="9" applyFont="1" applyAlignment="1" applyProtection="1">
      <alignment horizontal="right" vertical="center" wrapText="1"/>
      <protection locked="0"/>
    </xf>
    <xf numFmtId="0" fontId="17" fillId="0" borderId="0" xfId="9" applyFont="1" applyAlignment="1" applyProtection="1">
      <alignment vertical="center" wrapText="1"/>
      <protection locked="0"/>
    </xf>
    <xf numFmtId="0" fontId="16" fillId="0" borderId="0" xfId="9" applyFont="1" applyAlignment="1">
      <alignment vertical="center"/>
    </xf>
    <xf numFmtId="0" fontId="4" fillId="0" borderId="0" xfId="9" applyAlignment="1">
      <alignment vertical="center"/>
    </xf>
    <xf numFmtId="0" fontId="1" fillId="0" borderId="0" xfId="9" applyFont="1" applyAlignment="1" applyProtection="1">
      <alignment horizontal="center"/>
      <protection locked="0"/>
    </xf>
    <xf numFmtId="0" fontId="17" fillId="9" borderId="24" xfId="9" applyFont="1" applyFill="1" applyBorder="1" applyAlignment="1" applyProtection="1">
      <alignment horizontal="center" vertical="top"/>
      <protection locked="0"/>
    </xf>
    <xf numFmtId="0" fontId="18" fillId="9" borderId="25" xfId="9" applyFont="1" applyFill="1" applyBorder="1" applyAlignment="1" applyProtection="1">
      <alignment horizontal="center" vertical="top" wrapText="1"/>
      <protection locked="0"/>
    </xf>
    <xf numFmtId="0" fontId="18" fillId="9" borderId="28" xfId="9" applyFont="1" applyFill="1" applyBorder="1" applyAlignment="1" applyProtection="1">
      <alignment horizontal="center" vertical="top" wrapText="1"/>
      <protection locked="0"/>
    </xf>
    <xf numFmtId="43" fontId="1" fillId="0" borderId="0" xfId="3" applyFont="1" applyFill="1" applyBorder="1" applyAlignment="1" applyProtection="1">
      <alignment horizontal="center" vertical="top"/>
      <protection locked="0"/>
    </xf>
    <xf numFmtId="0" fontId="18" fillId="6" borderId="21" xfId="9" applyFont="1" applyFill="1" applyBorder="1" applyAlignment="1" applyProtection="1">
      <alignment horizontal="center" vertical="top"/>
      <protection locked="0"/>
    </xf>
    <xf numFmtId="43" fontId="41" fillId="6" borderId="30" xfId="4" applyFont="1" applyFill="1" applyBorder="1" applyAlignment="1" applyProtection="1">
      <alignment horizontal="center" vertical="top"/>
    </xf>
    <xf numFmtId="43" fontId="41" fillId="6" borderId="31" xfId="4" applyFont="1" applyFill="1" applyBorder="1" applyAlignment="1" applyProtection="1">
      <alignment horizontal="center" vertical="top"/>
    </xf>
    <xf numFmtId="0" fontId="18" fillId="6" borderId="13" xfId="9" applyFont="1" applyFill="1" applyBorder="1" applyAlignment="1" applyProtection="1">
      <alignment horizontal="center" vertical="top"/>
      <protection locked="0"/>
    </xf>
    <xf numFmtId="43" fontId="41" fillId="6" borderId="27" xfId="4" applyFont="1" applyFill="1" applyBorder="1" applyAlignment="1" applyProtection="1">
      <alignment horizontal="center" vertical="top"/>
    </xf>
    <xf numFmtId="43" fontId="41" fillId="6" borderId="28" xfId="4" applyFont="1" applyFill="1" applyBorder="1" applyAlignment="1" applyProtection="1">
      <alignment horizontal="center" vertical="top"/>
    </xf>
    <xf numFmtId="43" fontId="41" fillId="6" borderId="26" xfId="4" applyFont="1" applyFill="1" applyBorder="1" applyAlignment="1" applyProtection="1">
      <alignment horizontal="center" vertical="top"/>
    </xf>
    <xf numFmtId="43" fontId="17" fillId="0" borderId="2" xfId="3" applyFont="1" applyFill="1" applyBorder="1" applyAlignment="1" applyProtection="1">
      <alignment wrapText="1"/>
    </xf>
    <xf numFmtId="43" fontId="16" fillId="0" borderId="0" xfId="3" applyFont="1" applyFill="1" applyBorder="1" applyAlignment="1" applyProtection="1">
      <protection locked="0"/>
    </xf>
    <xf numFmtId="43" fontId="1" fillId="0" borderId="0" xfId="3" applyFont="1" applyFill="1" applyBorder="1" applyAlignment="1" applyProtection="1">
      <protection locked="0"/>
    </xf>
    <xf numFmtId="0" fontId="26" fillId="0" borderId="0" xfId="9" applyFont="1" applyProtection="1">
      <protection locked="0"/>
    </xf>
    <xf numFmtId="43" fontId="26" fillId="0" borderId="0" xfId="3" applyFont="1" applyFill="1" applyBorder="1" applyAlignment="1" applyProtection="1"/>
    <xf numFmtId="0" fontId="1" fillId="0" borderId="19" xfId="9" applyFont="1" applyBorder="1" applyAlignment="1" applyProtection="1">
      <alignment wrapText="1"/>
      <protection locked="0"/>
    </xf>
    <xf numFmtId="43" fontId="17" fillId="0" borderId="0" xfId="3" applyFont="1" applyFill="1" applyBorder="1" applyAlignment="1" applyProtection="1">
      <protection locked="0"/>
    </xf>
    <xf numFmtId="43" fontId="26" fillId="0" borderId="0" xfId="9" applyNumberFormat="1" applyFont="1"/>
    <xf numFmtId="0" fontId="32" fillId="0" borderId="0" xfId="9" applyFont="1" applyAlignment="1" applyProtection="1">
      <alignment horizontal="center" vertical="top"/>
      <protection locked="0"/>
    </xf>
    <xf numFmtId="43" fontId="20" fillId="0" borderId="0" xfId="9" applyNumberFormat="1" applyFont="1" applyAlignment="1" applyProtection="1">
      <alignment horizontal="center" vertical="top" wrapText="1"/>
      <protection locked="0"/>
    </xf>
    <xf numFmtId="0" fontId="18" fillId="6" borderId="33" xfId="9" applyFont="1" applyFill="1" applyBorder="1" applyAlignment="1" applyProtection="1">
      <alignment horizontal="center" vertical="top"/>
      <protection locked="0"/>
    </xf>
    <xf numFmtId="0" fontId="18" fillId="6" borderId="35" xfId="9" applyFont="1" applyFill="1" applyBorder="1" applyAlignment="1" applyProtection="1">
      <alignment horizontal="center" vertical="top"/>
      <protection locked="0"/>
    </xf>
    <xf numFmtId="0" fontId="18" fillId="6" borderId="4" xfId="9" applyFont="1" applyFill="1" applyBorder="1" applyAlignment="1" applyProtection="1">
      <alignment horizontal="center" vertical="top"/>
      <protection locked="0"/>
    </xf>
    <xf numFmtId="0" fontId="19" fillId="9" borderId="14" xfId="9" applyFont="1" applyFill="1" applyBorder="1" applyAlignment="1" applyProtection="1">
      <alignment horizontal="center"/>
      <protection locked="0"/>
    </xf>
    <xf numFmtId="43" fontId="19" fillId="9" borderId="27" xfId="4" applyFont="1" applyFill="1" applyBorder="1" applyAlignment="1" applyProtection="1">
      <alignment horizontal="center"/>
    </xf>
    <xf numFmtId="43" fontId="19" fillId="9" borderId="28" xfId="4" applyFont="1" applyFill="1" applyBorder="1" applyAlignment="1" applyProtection="1">
      <alignment horizontal="center"/>
    </xf>
    <xf numFmtId="0" fontId="34" fillId="0" borderId="0" xfId="9" applyFont="1" applyAlignment="1">
      <alignment horizontal="left"/>
    </xf>
    <xf numFmtId="43" fontId="29" fillId="0" borderId="0" xfId="1" applyFont="1" applyFill="1" applyBorder="1" applyAlignment="1" applyProtection="1">
      <alignment vertical="top"/>
      <protection locked="0"/>
    </xf>
    <xf numFmtId="0" fontId="0" fillId="8" borderId="0" xfId="0" applyFill="1"/>
    <xf numFmtId="1" fontId="0" fillId="0" borderId="0" xfId="0" applyNumberFormat="1"/>
    <xf numFmtId="0" fontId="57" fillId="0" borderId="0" xfId="0" applyFont="1" applyAlignment="1" applyProtection="1">
      <alignment vertical="center"/>
      <protection locked="0"/>
    </xf>
    <xf numFmtId="0" fontId="5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51" fillId="0" borderId="0" xfId="0" applyFont="1" applyAlignment="1" applyProtection="1">
      <alignment vertical="center"/>
      <protection locked="0"/>
    </xf>
    <xf numFmtId="15" fontId="43" fillId="9" borderId="2" xfId="0" applyNumberFormat="1" applyFont="1" applyFill="1" applyBorder="1" applyAlignment="1">
      <alignment horizontal="center" vertical="center" wrapText="1"/>
    </xf>
    <xf numFmtId="0" fontId="43" fillId="9" borderId="2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43" fillId="9" borderId="2" xfId="0" applyFont="1" applyFill="1" applyBorder="1" applyAlignment="1">
      <alignment horizontal="center" vertical="center"/>
    </xf>
    <xf numFmtId="0" fontId="44" fillId="10" borderId="2" xfId="0" applyFont="1" applyFill="1" applyBorder="1" applyAlignment="1">
      <alignment horizontal="center" vertical="center" wrapText="1"/>
    </xf>
    <xf numFmtId="15" fontId="4" fillId="0" borderId="2" xfId="0" applyNumberFormat="1" applyFont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1" fontId="58" fillId="0" borderId="0" xfId="0" applyNumberFormat="1" applyFont="1" applyAlignment="1" applyProtection="1">
      <alignment vertical="center"/>
      <protection locked="0"/>
    </xf>
    <xf numFmtId="1" fontId="8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" fontId="51" fillId="0" borderId="0" xfId="0" applyNumberFormat="1" applyFont="1" applyAlignment="1" applyProtection="1">
      <alignment vertical="center"/>
      <protection locked="0"/>
    </xf>
    <xf numFmtId="43" fontId="11" fillId="7" borderId="2" xfId="1" applyFont="1" applyFill="1" applyBorder="1" applyAlignment="1" applyProtection="1">
      <alignment horizontal="center" vertical="center" wrapText="1"/>
    </xf>
    <xf numFmtId="43" fontId="14" fillId="0" borderId="2" xfId="0" applyNumberFormat="1" applyFont="1" applyBorder="1" applyAlignment="1">
      <alignment vertical="top"/>
    </xf>
    <xf numFmtId="164" fontId="14" fillId="0" borderId="2" xfId="0" applyNumberFormat="1" applyFont="1" applyBorder="1" applyAlignment="1">
      <alignment vertical="top"/>
    </xf>
    <xf numFmtId="0" fontId="4" fillId="0" borderId="0" xfId="0" applyFont="1"/>
    <xf numFmtId="0" fontId="4" fillId="8" borderId="2" xfId="0" applyFont="1" applyFill="1" applyBorder="1" applyAlignment="1" applyProtection="1">
      <alignment vertical="top" wrapText="1"/>
      <protection locked="0"/>
    </xf>
    <xf numFmtId="0" fontId="4" fillId="8" borderId="2" xfId="0" applyFont="1" applyFill="1" applyBorder="1" applyAlignment="1" applyProtection="1">
      <alignment horizontal="center" vertical="top" wrapText="1"/>
      <protection locked="0"/>
    </xf>
    <xf numFmtId="0" fontId="4" fillId="8" borderId="2" xfId="0" applyFont="1" applyFill="1" applyBorder="1" applyAlignment="1" applyProtection="1">
      <alignment horizontal="left" vertical="top" wrapText="1"/>
      <protection locked="0"/>
    </xf>
    <xf numFmtId="43" fontId="14" fillId="8" borderId="2" xfId="0" applyNumberFormat="1" applyFont="1" applyFill="1" applyBorder="1" applyAlignment="1">
      <alignment vertical="top"/>
    </xf>
    <xf numFmtId="164" fontId="14" fillId="8" borderId="2" xfId="0" applyNumberFormat="1" applyFont="1" applyFill="1" applyBorder="1" applyAlignment="1">
      <alignment vertical="top"/>
    </xf>
    <xf numFmtId="0" fontId="4" fillId="0" borderId="2" xfId="10" applyFont="1" applyBorder="1" applyAlignment="1" applyProtection="1">
      <alignment horizontal="left" vertical="top" wrapText="1"/>
      <protection locked="0"/>
    </xf>
    <xf numFmtId="0" fontId="4" fillId="0" borderId="2" xfId="10" applyFont="1" applyBorder="1" applyAlignment="1" applyProtection="1">
      <alignment horizontal="center" vertical="top" wrapText="1"/>
      <protection locked="0"/>
    </xf>
    <xf numFmtId="49" fontId="4" fillId="0" borderId="2" xfId="0" applyNumberFormat="1" applyFont="1" applyBorder="1" applyAlignment="1" applyProtection="1">
      <alignment horizontal="center" vertical="top" wrapText="1"/>
      <protection locked="0"/>
    </xf>
    <xf numFmtId="43" fontId="14" fillId="0" borderId="2" xfId="3" applyFont="1" applyFill="1" applyBorder="1" applyAlignment="1" applyProtection="1">
      <alignment horizontal="center" vertical="top" wrapText="1"/>
    </xf>
    <xf numFmtId="15" fontId="4" fillId="0" borderId="2" xfId="0" applyNumberFormat="1" applyFont="1" applyBorder="1" applyAlignment="1" applyProtection="1">
      <alignment horizontal="center" vertical="top"/>
      <protection locked="0"/>
    </xf>
    <xf numFmtId="0" fontId="4" fillId="8" borderId="2" xfId="10" applyFont="1" applyFill="1" applyBorder="1" applyAlignment="1" applyProtection="1">
      <alignment horizontal="center" vertical="top" wrapText="1"/>
      <protection locked="0"/>
    </xf>
    <xf numFmtId="0" fontId="4" fillId="8" borderId="2" xfId="10" applyFont="1" applyFill="1" applyBorder="1" applyAlignment="1" applyProtection="1">
      <alignment horizontal="left" vertical="top" wrapText="1"/>
      <protection locked="0"/>
    </xf>
    <xf numFmtId="43" fontId="14" fillId="8" borderId="2" xfId="3" applyFont="1" applyFill="1" applyBorder="1" applyAlignment="1" applyProtection="1">
      <alignment horizontal="center" vertical="top" wrapText="1"/>
    </xf>
    <xf numFmtId="0" fontId="0" fillId="4" borderId="0" xfId="0" applyFill="1"/>
    <xf numFmtId="0" fontId="4" fillId="0" borderId="30" xfId="10" applyFont="1" applyBorder="1" applyAlignment="1" applyProtection="1">
      <alignment horizontal="center" vertical="top" wrapText="1"/>
      <protection locked="0"/>
    </xf>
    <xf numFmtId="0" fontId="4" fillId="0" borderId="30" xfId="0" applyFont="1" applyBorder="1" applyAlignment="1" applyProtection="1">
      <alignment horizontal="center" vertical="top" wrapText="1"/>
      <protection locked="0"/>
    </xf>
    <xf numFmtId="43" fontId="14" fillId="0" borderId="2" xfId="3" applyFont="1" applyFill="1" applyBorder="1" applyAlignment="1" applyProtection="1">
      <alignment vertical="top"/>
    </xf>
    <xf numFmtId="15" fontId="4" fillId="8" borderId="2" xfId="0" applyNumberFormat="1" applyFont="1" applyFill="1" applyBorder="1" applyAlignment="1" applyProtection="1">
      <alignment horizontal="center" vertical="top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1" fontId="4" fillId="0" borderId="2" xfId="0" applyNumberFormat="1" applyFont="1" applyBorder="1" applyAlignment="1" applyProtection="1">
      <alignment horizontal="center" vertical="top" wrapText="1"/>
      <protection locked="0"/>
    </xf>
    <xf numFmtId="14" fontId="4" fillId="0" borderId="2" xfId="0" applyNumberFormat="1" applyFont="1" applyBorder="1" applyAlignment="1" applyProtection="1">
      <alignment horizontal="center" vertical="top" wrapText="1"/>
      <protection locked="0"/>
    </xf>
    <xf numFmtId="0" fontId="15" fillId="0" borderId="0" xfId="0" applyFont="1" applyAlignment="1" applyProtection="1">
      <alignment horizontal="center" vertical="top" wrapText="1"/>
      <protection locked="0"/>
    </xf>
    <xf numFmtId="0" fontId="17" fillId="7" borderId="36" xfId="0" applyFont="1" applyFill="1" applyBorder="1" applyAlignment="1" applyProtection="1">
      <alignment horizontal="center" vertical="top"/>
      <protection locked="0"/>
    </xf>
    <xf numFmtId="0" fontId="45" fillId="7" borderId="37" xfId="0" applyFont="1" applyFill="1" applyBorder="1" applyAlignment="1" applyProtection="1">
      <alignment horizontal="center" vertical="top" wrapText="1"/>
      <protection locked="0"/>
    </xf>
    <xf numFmtId="0" fontId="0" fillId="0" borderId="21" xfId="0" applyBorder="1"/>
    <xf numFmtId="0" fontId="0" fillId="0" borderId="19" xfId="0" applyBorder="1"/>
    <xf numFmtId="0" fontId="0" fillId="0" borderId="44" xfId="0" applyBorder="1"/>
    <xf numFmtId="0" fontId="16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34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15" fillId="0" borderId="0" xfId="0" applyFont="1"/>
    <xf numFmtId="0" fontId="0" fillId="0" borderId="0" xfId="0" applyAlignment="1">
      <alignment horizontal="left"/>
    </xf>
    <xf numFmtId="43" fontId="59" fillId="0" borderId="45" xfId="0" applyNumberFormat="1" applyFont="1" applyBorder="1"/>
    <xf numFmtId="43" fontId="60" fillId="0" borderId="0" xfId="0" applyNumberFormat="1" applyFont="1"/>
    <xf numFmtId="1" fontId="60" fillId="0" borderId="0" xfId="0" applyNumberFormat="1" applyFont="1"/>
    <xf numFmtId="164" fontId="60" fillId="0" borderId="0" xfId="0" applyNumberFormat="1" applyFont="1"/>
    <xf numFmtId="1" fontId="28" fillId="0" borderId="0" xfId="3" applyNumberFormat="1" applyFont="1" applyFill="1" applyBorder="1" applyAlignment="1" applyProtection="1">
      <alignment vertical="top" wrapText="1"/>
      <protection locked="0"/>
    </xf>
    <xf numFmtId="0" fontId="62" fillId="0" borderId="0" xfId="0" applyFont="1"/>
    <xf numFmtId="15" fontId="4" fillId="0" borderId="2" xfId="0" quotePrefix="1" applyNumberFormat="1" applyFont="1" applyBorder="1" applyAlignment="1" applyProtection="1">
      <alignment horizontal="center" vertical="center"/>
      <protection locked="0"/>
    </xf>
    <xf numFmtId="43" fontId="0" fillId="0" borderId="2" xfId="0" applyNumberFormat="1" applyBorder="1" applyAlignment="1">
      <alignment vertical="top"/>
    </xf>
    <xf numFmtId="43" fontId="0" fillId="0" borderId="0" xfId="0" applyNumberFormat="1"/>
    <xf numFmtId="0" fontId="0" fillId="0" borderId="2" xfId="0" applyBorder="1" applyAlignment="1" applyProtection="1">
      <alignment horizontal="center" vertical="top" wrapText="1"/>
      <protection locked="0"/>
    </xf>
    <xf numFmtId="0" fontId="63" fillId="0" borderId="2" xfId="0" applyFont="1" applyBorder="1" applyAlignment="1">
      <alignment horizontal="center" wrapText="1"/>
    </xf>
    <xf numFmtId="0" fontId="0" fillId="0" borderId="2" xfId="10" applyFont="1" applyBorder="1" applyAlignment="1" applyProtection="1">
      <alignment horizontal="center" vertical="top" wrapText="1"/>
      <protection locked="0"/>
    </xf>
    <xf numFmtId="0" fontId="0" fillId="0" borderId="30" xfId="0" applyBorder="1" applyAlignment="1" applyProtection="1">
      <alignment horizontal="center" vertical="top" wrapText="1"/>
      <protection locked="0"/>
    </xf>
    <xf numFmtId="0" fontId="4" fillId="11" borderId="2" xfId="10" applyFont="1" applyFill="1" applyBorder="1" applyAlignment="1" applyProtection="1">
      <alignment horizontal="left" vertical="top" wrapText="1"/>
      <protection locked="0"/>
    </xf>
    <xf numFmtId="15" fontId="4" fillId="8" borderId="0" xfId="0" applyNumberFormat="1" applyFont="1" applyFill="1" applyAlignment="1" applyProtection="1">
      <alignment horizontal="center" vertical="top"/>
      <protection locked="0"/>
    </xf>
    <xf numFmtId="1" fontId="4" fillId="0" borderId="0" xfId="0" applyNumberFormat="1" applyFont="1" applyAlignment="1" applyProtection="1">
      <alignment horizontal="center" vertical="top" wrapText="1"/>
      <protection locked="0"/>
    </xf>
    <xf numFmtId="43" fontId="14" fillId="0" borderId="0" xfId="3" applyFont="1" applyFill="1" applyBorder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  <protection locked="0"/>
    </xf>
    <xf numFmtId="14" fontId="0" fillId="0" borderId="0" xfId="0" applyNumberFormat="1" applyAlignment="1" applyProtection="1">
      <alignment horizontal="center" vertical="top" wrapText="1"/>
      <protection locked="0"/>
    </xf>
    <xf numFmtId="0" fontId="0" fillId="0" borderId="0" xfId="1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/>
      <protection locked="0"/>
    </xf>
    <xf numFmtId="1" fontId="16" fillId="0" borderId="0" xfId="0" applyNumberFormat="1" applyFont="1"/>
    <xf numFmtId="0" fontId="0" fillId="0" borderId="0" xfId="0" applyAlignment="1" applyProtection="1">
      <alignment horizontal="center" vertical="center"/>
      <protection locked="0"/>
    </xf>
    <xf numFmtId="15" fontId="4" fillId="7" borderId="2" xfId="0" applyNumberFormat="1" applyFont="1" applyFill="1" applyBorder="1" applyAlignment="1" applyProtection="1">
      <alignment horizontal="center" vertical="top"/>
      <protection locked="0"/>
    </xf>
    <xf numFmtId="0" fontId="4" fillId="7" borderId="2" xfId="0" applyFont="1" applyFill="1" applyBorder="1" applyAlignment="1" applyProtection="1">
      <alignment horizontal="center" vertical="top" wrapText="1"/>
      <protection locked="0"/>
    </xf>
    <xf numFmtId="0" fontId="4" fillId="7" borderId="2" xfId="10" applyFont="1" applyFill="1" applyBorder="1" applyAlignment="1" applyProtection="1">
      <alignment horizontal="left" vertical="top" wrapText="1"/>
      <protection locked="0"/>
    </xf>
    <xf numFmtId="0" fontId="4" fillId="7" borderId="2" xfId="10" applyFont="1" applyFill="1" applyBorder="1" applyAlignment="1" applyProtection="1">
      <alignment horizontal="center" vertical="top" wrapText="1"/>
      <protection locked="0"/>
    </xf>
    <xf numFmtId="43" fontId="14" fillId="7" borderId="2" xfId="3" applyFont="1" applyFill="1" applyBorder="1" applyAlignment="1" applyProtection="1">
      <alignment horizontal="center" vertical="top" wrapText="1"/>
    </xf>
    <xf numFmtId="0" fontId="4" fillId="7" borderId="30" xfId="0" applyFont="1" applyFill="1" applyBorder="1" applyAlignment="1" applyProtection="1">
      <alignment horizontal="center" vertical="top" wrapText="1"/>
      <protection locked="0"/>
    </xf>
    <xf numFmtId="15" fontId="4" fillId="12" borderId="2" xfId="0" applyNumberFormat="1" applyFont="1" applyFill="1" applyBorder="1" applyAlignment="1" applyProtection="1">
      <alignment horizontal="center" vertical="top"/>
      <protection locked="0"/>
    </xf>
    <xf numFmtId="0" fontId="4" fillId="12" borderId="2" xfId="0" applyFont="1" applyFill="1" applyBorder="1" applyAlignment="1" applyProtection="1">
      <alignment horizontal="center" vertical="top" wrapText="1"/>
      <protection locked="0"/>
    </xf>
    <xf numFmtId="0" fontId="4" fillId="12" borderId="2" xfId="10" applyFont="1" applyFill="1" applyBorder="1" applyAlignment="1" applyProtection="1">
      <alignment horizontal="left" vertical="top" wrapText="1"/>
      <protection locked="0"/>
    </xf>
    <xf numFmtId="0" fontId="4" fillId="12" borderId="2" xfId="10" applyFont="1" applyFill="1" applyBorder="1" applyAlignment="1" applyProtection="1">
      <alignment horizontal="center" vertical="top" wrapText="1"/>
      <protection locked="0"/>
    </xf>
    <xf numFmtId="43" fontId="14" fillId="12" borderId="2" xfId="3" applyFont="1" applyFill="1" applyBorder="1" applyAlignment="1" applyProtection="1">
      <alignment horizontal="center" vertical="top" wrapText="1"/>
    </xf>
    <xf numFmtId="166" fontId="0" fillId="0" borderId="0" xfId="0" applyNumberFormat="1"/>
    <xf numFmtId="166" fontId="15" fillId="0" borderId="0" xfId="0" applyNumberFormat="1" applyFont="1" applyAlignment="1" applyProtection="1">
      <alignment horizontal="center" vertical="top"/>
      <protection locked="0"/>
    </xf>
    <xf numFmtId="166" fontId="23" fillId="0" borderId="0" xfId="0" applyNumberFormat="1" applyFont="1"/>
    <xf numFmtId="166" fontId="4" fillId="0" borderId="0" xfId="0" applyNumberFormat="1" applyFont="1"/>
    <xf numFmtId="166" fontId="24" fillId="0" borderId="0" xfId="0" applyNumberFormat="1" applyFont="1" applyAlignment="1">
      <alignment horizontal="left" indent="4"/>
    </xf>
    <xf numFmtId="166" fontId="16" fillId="0" borderId="0" xfId="0" applyNumberFormat="1" applyFont="1"/>
    <xf numFmtId="166" fontId="4" fillId="0" borderId="0" xfId="0" applyNumberFormat="1" applyFont="1" applyAlignment="1">
      <alignment horizontal="left"/>
    </xf>
    <xf numFmtId="166" fontId="23" fillId="0" borderId="0" xfId="9" applyNumberFormat="1" applyFont="1" applyAlignment="1">
      <alignment horizontal="left" indent="3"/>
    </xf>
    <xf numFmtId="166" fontId="17" fillId="0" borderId="0" xfId="0" applyNumberFormat="1" applyFont="1" applyAlignment="1">
      <alignment horizontal="left" indent="2"/>
    </xf>
    <xf numFmtId="164" fontId="14" fillId="0" borderId="2" xfId="0" applyNumberFormat="1" applyFont="1" applyBorder="1" applyAlignment="1">
      <alignment horizontal="center" vertical="top"/>
    </xf>
    <xf numFmtId="0" fontId="19" fillId="3" borderId="7" xfId="9" applyFont="1" applyFill="1" applyBorder="1" applyAlignment="1" applyProtection="1">
      <alignment horizontal="center"/>
      <protection locked="0"/>
    </xf>
    <xf numFmtId="43" fontId="19" fillId="3" borderId="7" xfId="3" applyFont="1" applyFill="1" applyBorder="1" applyAlignment="1" applyProtection="1">
      <alignment horizontal="center"/>
    </xf>
    <xf numFmtId="43" fontId="18" fillId="6" borderId="2" xfId="3" applyFont="1" applyFill="1" applyBorder="1" applyAlignment="1" applyProtection="1">
      <alignment horizontal="center" vertical="top"/>
    </xf>
    <xf numFmtId="166" fontId="24" fillId="9" borderId="2" xfId="0" applyNumberFormat="1" applyFont="1" applyFill="1" applyBorder="1" applyAlignment="1">
      <alignment horizontal="center" vertical="center" wrapText="1"/>
    </xf>
    <xf numFmtId="0" fontId="24" fillId="9" borderId="2" xfId="9" applyFont="1" applyFill="1" applyBorder="1" applyAlignment="1">
      <alignment horizontal="center" vertical="center" wrapText="1"/>
    </xf>
    <xf numFmtId="0" fontId="16" fillId="9" borderId="2" xfId="9" applyFont="1" applyFill="1" applyBorder="1" applyAlignment="1">
      <alignment horizontal="center" vertical="center" wrapText="1"/>
    </xf>
    <xf numFmtId="43" fontId="16" fillId="9" borderId="2" xfId="3" applyFont="1" applyFill="1" applyBorder="1" applyAlignment="1" applyProtection="1">
      <alignment horizontal="center" vertical="center" wrapText="1"/>
    </xf>
    <xf numFmtId="43" fontId="17" fillId="9" borderId="2" xfId="3" applyFont="1" applyFill="1" applyBorder="1" applyAlignment="1" applyProtection="1">
      <alignment horizontal="center" vertical="center" wrapText="1"/>
    </xf>
    <xf numFmtId="164" fontId="17" fillId="9" borderId="2" xfId="3" applyNumberFormat="1" applyFont="1" applyFill="1" applyBorder="1" applyAlignment="1" applyProtection="1">
      <alignment horizontal="center" vertical="center" wrapText="1"/>
    </xf>
    <xf numFmtId="0" fontId="17" fillId="9" borderId="2" xfId="9" applyFont="1" applyFill="1" applyBorder="1" applyAlignment="1">
      <alignment horizontal="center" vertical="top" wrapText="1"/>
    </xf>
    <xf numFmtId="0" fontId="17" fillId="9" borderId="2" xfId="9" applyFont="1" applyFill="1" applyBorder="1" applyAlignment="1">
      <alignment horizontal="center" vertical="center" wrapText="1"/>
    </xf>
    <xf numFmtId="15" fontId="1" fillId="0" borderId="5" xfId="9" applyNumberFormat="1" applyFont="1" applyBorder="1" applyProtection="1">
      <protection locked="0"/>
    </xf>
    <xf numFmtId="15" fontId="1" fillId="0" borderId="0" xfId="9" applyNumberFormat="1" applyFont="1" applyProtection="1">
      <protection locked="0"/>
    </xf>
    <xf numFmtId="15" fontId="1" fillId="0" borderId="0" xfId="9" applyNumberFormat="1" applyFont="1" applyAlignment="1" applyProtection="1">
      <alignment vertical="top"/>
      <protection locked="0"/>
    </xf>
    <xf numFmtId="166" fontId="22" fillId="9" borderId="2" xfId="0" applyNumberFormat="1" applyFont="1" applyFill="1" applyBorder="1" applyAlignment="1">
      <alignment horizontal="center" vertical="center" wrapText="1"/>
    </xf>
    <xf numFmtId="43" fontId="16" fillId="7" borderId="2" xfId="1" applyFont="1" applyFill="1" applyBorder="1" applyAlignment="1" applyProtection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15" fontId="1" fillId="0" borderId="1" xfId="9" applyNumberFormat="1" applyFont="1" applyBorder="1" applyAlignment="1" applyProtection="1">
      <alignment vertical="top"/>
      <protection locked="0"/>
    </xf>
    <xf numFmtId="15" fontId="1" fillId="0" borderId="5" xfId="9" applyNumberFormat="1" applyFont="1" applyBorder="1" applyAlignment="1" applyProtection="1">
      <alignment vertical="top"/>
      <protection locked="0"/>
    </xf>
    <xf numFmtId="15" fontId="1" fillId="0" borderId="5" xfId="0" applyNumberFormat="1" applyFont="1" applyBorder="1" applyAlignment="1" applyProtection="1">
      <alignment horizontal="center"/>
      <protection locked="0"/>
    </xf>
    <xf numFmtId="15" fontId="1" fillId="0" borderId="0" xfId="0" applyNumberFormat="1" applyFont="1" applyAlignment="1" applyProtection="1">
      <alignment horizontal="center"/>
      <protection locked="0"/>
    </xf>
    <xf numFmtId="15" fontId="1" fillId="0" borderId="0" xfId="0" applyNumberFormat="1" applyFont="1" applyAlignment="1" applyProtection="1">
      <alignment horizontal="center" vertical="top"/>
      <protection locked="0"/>
    </xf>
    <xf numFmtId="15" fontId="1" fillId="0" borderId="5" xfId="0" applyNumberFormat="1" applyFont="1" applyBorder="1" applyAlignment="1" applyProtection="1">
      <alignment horizontal="center" vertical="top"/>
      <protection locked="0"/>
    </xf>
    <xf numFmtId="166" fontId="16" fillId="9" borderId="2" xfId="0" applyNumberFormat="1" applyFont="1" applyFill="1" applyBorder="1" applyAlignment="1">
      <alignment horizontal="center" vertical="center" wrapText="1"/>
    </xf>
    <xf numFmtId="43" fontId="18" fillId="6" borderId="30" xfId="3" applyFont="1" applyFill="1" applyBorder="1" applyAlignment="1" applyProtection="1">
      <alignment horizontal="center" vertical="center"/>
    </xf>
    <xf numFmtId="43" fontId="18" fillId="6" borderId="30" xfId="3" applyFont="1" applyFill="1" applyBorder="1" applyAlignment="1" applyProtection="1">
      <alignment horizontal="left" indent="5"/>
    </xf>
    <xf numFmtId="43" fontId="18" fillId="6" borderId="27" xfId="3" applyFont="1" applyFill="1" applyBorder="1" applyAlignment="1" applyProtection="1">
      <alignment horizontal="left" indent="5"/>
    </xf>
    <xf numFmtId="43" fontId="18" fillId="6" borderId="30" xfId="3" applyFont="1" applyFill="1" applyBorder="1" applyAlignment="1" applyProtection="1">
      <alignment horizontal="right" indent="3"/>
    </xf>
    <xf numFmtId="0" fontId="16" fillId="9" borderId="2" xfId="0" applyFont="1" applyFill="1" applyBorder="1" applyAlignment="1">
      <alignment horizontal="center" vertical="center"/>
    </xf>
    <xf numFmtId="0" fontId="67" fillId="10" borderId="2" xfId="9" applyFont="1" applyFill="1" applyBorder="1" applyAlignment="1">
      <alignment horizontal="center" vertical="center" wrapText="1"/>
    </xf>
    <xf numFmtId="43" fontId="41" fillId="6" borderId="27" xfId="4" applyFont="1" applyFill="1" applyBorder="1" applyAlignment="1" applyProtection="1">
      <alignment horizontal="left" vertical="top" indent="8"/>
    </xf>
    <xf numFmtId="43" fontId="41" fillId="6" borderId="30" xfId="4" applyFont="1" applyFill="1" applyBorder="1" applyAlignment="1" applyProtection="1">
      <alignment horizontal="left" vertical="top" indent="8"/>
    </xf>
    <xf numFmtId="43" fontId="41" fillId="6" borderId="28" xfId="4" applyFont="1" applyFill="1" applyBorder="1" applyAlignment="1" applyProtection="1">
      <alignment horizontal="left" vertical="top" indent="6"/>
    </xf>
    <xf numFmtId="43" fontId="41" fillId="6" borderId="31" xfId="4" applyFont="1" applyFill="1" applyBorder="1" applyAlignment="1" applyProtection="1">
      <alignment horizontal="left" vertical="top" indent="6"/>
    </xf>
    <xf numFmtId="0" fontId="51" fillId="0" borderId="0" xfId="9" applyFont="1" applyAlignment="1" applyProtection="1">
      <alignment horizontal="left" vertical="center" indent="1"/>
      <protection locked="0"/>
    </xf>
    <xf numFmtId="0" fontId="51" fillId="0" borderId="0" xfId="9" applyFont="1" applyAlignment="1" applyProtection="1">
      <alignment horizontal="left" vertical="center" indent="5"/>
      <protection locked="0"/>
    </xf>
    <xf numFmtId="0" fontId="49" fillId="0" borderId="0" xfId="9" applyFont="1" applyAlignment="1" applyProtection="1">
      <alignment horizontal="left" indent="1"/>
      <protection locked="0"/>
    </xf>
    <xf numFmtId="0" fontId="4" fillId="0" borderId="2" xfId="9" applyBorder="1" applyAlignment="1" applyProtection="1">
      <alignment horizontal="center" vertical="center"/>
      <protection locked="0"/>
    </xf>
    <xf numFmtId="15" fontId="4" fillId="0" borderId="2" xfId="9" applyNumberFormat="1" applyBorder="1" applyAlignment="1" applyProtection="1">
      <alignment horizontal="center" vertical="top"/>
      <protection locked="0"/>
    </xf>
    <xf numFmtId="0" fontId="4" fillId="0" borderId="2" xfId="9" applyBorder="1" applyAlignment="1" applyProtection="1">
      <alignment vertical="top" wrapText="1"/>
      <protection locked="0"/>
    </xf>
    <xf numFmtId="0" fontId="4" fillId="0" borderId="2" xfId="9" applyBorder="1" applyAlignment="1" applyProtection="1">
      <alignment horizontal="center" vertical="top" wrapText="1"/>
      <protection locked="0"/>
    </xf>
    <xf numFmtId="0" fontId="4" fillId="0" borderId="2" xfId="9" applyBorder="1" applyAlignment="1" applyProtection="1">
      <alignment horizontal="left" vertical="top" wrapText="1"/>
      <protection locked="0"/>
    </xf>
    <xf numFmtId="43" fontId="14" fillId="0" borderId="2" xfId="4" applyFont="1" applyFill="1" applyBorder="1" applyAlignment="1" applyProtection="1">
      <alignment horizontal="center" vertical="top" wrapText="1"/>
    </xf>
    <xf numFmtId="43" fontId="4" fillId="0" borderId="2" xfId="3" applyFont="1" applyFill="1" applyBorder="1" applyAlignment="1" applyProtection="1">
      <alignment vertical="top"/>
      <protection locked="0"/>
    </xf>
    <xf numFmtId="164" fontId="14" fillId="0" borderId="2" xfId="9" applyNumberFormat="1" applyFont="1" applyBorder="1" applyAlignment="1">
      <alignment vertical="top"/>
    </xf>
    <xf numFmtId="15" fontId="4" fillId="8" borderId="2" xfId="9" applyNumberFormat="1" applyFill="1" applyBorder="1" applyAlignment="1" applyProtection="1">
      <alignment horizontal="center" vertical="top"/>
      <protection locked="0"/>
    </xf>
    <xf numFmtId="0" fontId="4" fillId="8" borderId="2" xfId="9" applyFill="1" applyBorder="1" applyAlignment="1" applyProtection="1">
      <alignment vertical="top" wrapText="1"/>
      <protection locked="0"/>
    </xf>
    <xf numFmtId="0" fontId="4" fillId="8" borderId="2" xfId="9" applyFill="1" applyBorder="1" applyAlignment="1" applyProtection="1">
      <alignment horizontal="center" vertical="top" wrapText="1"/>
      <protection locked="0"/>
    </xf>
    <xf numFmtId="0" fontId="4" fillId="8" borderId="2" xfId="9" applyFill="1" applyBorder="1" applyAlignment="1" applyProtection="1">
      <alignment horizontal="left" vertical="top" wrapText="1"/>
      <protection locked="0"/>
    </xf>
    <xf numFmtId="43" fontId="14" fillId="8" borderId="2" xfId="4" applyFont="1" applyFill="1" applyBorder="1" applyAlignment="1" applyProtection="1">
      <alignment horizontal="center" vertical="top" wrapText="1"/>
    </xf>
    <xf numFmtId="43" fontId="4" fillId="8" borderId="2" xfId="3" applyFont="1" applyFill="1" applyBorder="1" applyAlignment="1" applyProtection="1">
      <alignment vertical="top"/>
      <protection locked="0"/>
    </xf>
    <xf numFmtId="164" fontId="14" fillId="8" borderId="2" xfId="9" applyNumberFormat="1" applyFont="1" applyFill="1" applyBorder="1" applyAlignment="1">
      <alignment vertical="top"/>
    </xf>
    <xf numFmtId="43" fontId="14" fillId="8" borderId="2" xfId="3" applyFont="1" applyFill="1" applyBorder="1" applyAlignment="1" applyProtection="1">
      <alignment vertical="top"/>
    </xf>
    <xf numFmtId="15" fontId="4" fillId="0" borderId="2" xfId="9" applyNumberFormat="1" applyBorder="1" applyAlignment="1" applyProtection="1">
      <alignment vertical="top"/>
      <protection locked="0"/>
    </xf>
    <xf numFmtId="43" fontId="14" fillId="0" borderId="2" xfId="9" applyNumberFormat="1" applyFont="1" applyBorder="1" applyAlignment="1">
      <alignment vertical="top"/>
    </xf>
    <xf numFmtId="14" fontId="4" fillId="0" borderId="2" xfId="9" applyNumberFormat="1" applyBorder="1" applyProtection="1">
      <protection locked="0"/>
    </xf>
    <xf numFmtId="43" fontId="4" fillId="0" borderId="2" xfId="3" applyFont="1" applyFill="1" applyBorder="1" applyAlignment="1" applyProtection="1">
      <alignment wrapText="1"/>
      <protection locked="0"/>
    </xf>
    <xf numFmtId="43" fontId="4" fillId="0" borderId="2" xfId="3" applyFont="1" applyFill="1" applyBorder="1" applyAlignment="1" applyProtection="1">
      <alignment horizontal="center" wrapText="1"/>
      <protection locked="0"/>
    </xf>
    <xf numFmtId="43" fontId="16" fillId="0" borderId="2" xfId="3" applyFont="1" applyFill="1" applyBorder="1" applyAlignment="1" applyProtection="1">
      <alignment wrapText="1"/>
      <protection locked="0"/>
    </xf>
    <xf numFmtId="43" fontId="4" fillId="0" borderId="2" xfId="9" applyNumberFormat="1" applyBorder="1" applyAlignment="1" applyProtection="1">
      <alignment wrapText="1"/>
      <protection locked="0"/>
    </xf>
    <xf numFmtId="15" fontId="4" fillId="0" borderId="18" xfId="9" applyNumberFormat="1" applyBorder="1" applyProtection="1">
      <protection locked="0"/>
    </xf>
    <xf numFmtId="15" fontId="4" fillId="0" borderId="5" xfId="9" applyNumberFormat="1" applyBorder="1" applyProtection="1">
      <protection locked="0"/>
    </xf>
    <xf numFmtId="0" fontId="4" fillId="0" borderId="5" xfId="9" applyBorder="1" applyAlignment="1" applyProtection="1">
      <alignment wrapText="1"/>
      <protection locked="0"/>
    </xf>
    <xf numFmtId="0" fontId="4" fillId="0" borderId="22" xfId="9" applyBorder="1" applyAlignment="1" applyProtection="1">
      <alignment wrapText="1"/>
      <protection locked="0"/>
    </xf>
    <xf numFmtId="15" fontId="16" fillId="0" borderId="2" xfId="9" applyNumberFormat="1" applyFont="1" applyBorder="1" applyAlignment="1" applyProtection="1">
      <alignment horizontal="center" vertical="center"/>
      <protection locked="0"/>
    </xf>
    <xf numFmtId="43" fontId="4" fillId="0" borderId="2" xfId="3" applyFont="1" applyFill="1" applyBorder="1" applyAlignment="1" applyProtection="1">
      <alignment vertical="top" wrapText="1"/>
    </xf>
    <xf numFmtId="2" fontId="4" fillId="0" borderId="2" xfId="9" applyNumberFormat="1" applyBorder="1" applyAlignment="1" applyProtection="1">
      <alignment horizontal="center" vertical="top" wrapText="1"/>
      <protection locked="0"/>
    </xf>
    <xf numFmtId="43" fontId="4" fillId="0" borderId="2" xfId="3" applyFont="1" applyFill="1" applyBorder="1" applyAlignment="1" applyProtection="1">
      <alignment vertical="top"/>
    </xf>
    <xf numFmtId="164" fontId="14" fillId="0" borderId="2" xfId="9" applyNumberFormat="1" applyFont="1" applyBorder="1" applyAlignment="1">
      <alignment horizontal="center" vertical="top"/>
    </xf>
    <xf numFmtId="0" fontId="4" fillId="2" borderId="2" xfId="9" applyFill="1" applyBorder="1" applyAlignment="1" applyProtection="1">
      <alignment vertical="top" wrapText="1"/>
      <protection locked="0"/>
    </xf>
    <xf numFmtId="15" fontId="4" fillId="8" borderId="2" xfId="9" applyNumberFormat="1" applyFill="1" applyBorder="1" applyAlignment="1" applyProtection="1">
      <alignment vertical="top"/>
      <protection locked="0"/>
    </xf>
    <xf numFmtId="43" fontId="4" fillId="8" borderId="2" xfId="3" applyFont="1" applyFill="1" applyBorder="1" applyAlignment="1" applyProtection="1">
      <alignment vertical="top" wrapText="1"/>
    </xf>
    <xf numFmtId="2" fontId="4" fillId="8" borderId="2" xfId="9" applyNumberFormat="1" applyFill="1" applyBorder="1" applyAlignment="1" applyProtection="1">
      <alignment horizontal="center" vertical="top" wrapText="1"/>
      <protection locked="0"/>
    </xf>
    <xf numFmtId="43" fontId="4" fillId="8" borderId="2" xfId="3" applyFont="1" applyFill="1" applyBorder="1" applyAlignment="1" applyProtection="1">
      <alignment vertical="top"/>
    </xf>
    <xf numFmtId="43" fontId="14" fillId="8" borderId="2" xfId="9" applyNumberFormat="1" applyFont="1" applyFill="1" applyBorder="1" applyAlignment="1">
      <alignment vertical="top"/>
    </xf>
    <xf numFmtId="164" fontId="14" fillId="8" borderId="2" xfId="9" applyNumberFormat="1" applyFont="1" applyFill="1" applyBorder="1" applyAlignment="1">
      <alignment horizontal="center" vertical="top"/>
    </xf>
    <xf numFmtId="49" fontId="4" fillId="0" borderId="2" xfId="9" applyNumberFormat="1" applyBorder="1" applyAlignment="1" applyProtection="1">
      <alignment horizontal="center" vertical="top" wrapText="1"/>
      <protection locked="0"/>
    </xf>
    <xf numFmtId="49" fontId="4" fillId="8" borderId="2" xfId="9" applyNumberFormat="1" applyFill="1" applyBorder="1" applyAlignment="1" applyProtection="1">
      <alignment horizontal="center" vertical="top" wrapText="1"/>
      <protection locked="0"/>
    </xf>
    <xf numFmtId="43" fontId="4" fillId="0" borderId="2" xfId="4" applyFont="1" applyFill="1" applyBorder="1" applyAlignment="1" applyProtection="1">
      <alignment vertical="top"/>
    </xf>
    <xf numFmtId="0" fontId="68" fillId="8" borderId="2" xfId="11" applyFont="1" applyFill="1" applyBorder="1" applyAlignment="1" applyProtection="1">
      <alignment horizontal="center" vertical="center" wrapText="1"/>
      <protection locked="0"/>
    </xf>
    <xf numFmtId="0" fontId="53" fillId="0" borderId="0" xfId="0" applyFont="1"/>
    <xf numFmtId="1" fontId="70" fillId="0" borderId="0" xfId="0" applyNumberFormat="1" applyFont="1" applyAlignment="1" applyProtection="1">
      <alignment vertical="center"/>
      <protection locked="0"/>
    </xf>
    <xf numFmtId="1" fontId="53" fillId="0" borderId="0" xfId="0" applyNumberFormat="1" applyFont="1"/>
    <xf numFmtId="0" fontId="70" fillId="0" borderId="0" xfId="0" applyFont="1" applyAlignment="1" applyProtection="1">
      <alignment vertical="center"/>
      <protection locked="0"/>
    </xf>
    <xf numFmtId="0" fontId="53" fillId="8" borderId="2" xfId="0" applyFont="1" applyFill="1" applyBorder="1" applyAlignment="1" applyProtection="1">
      <alignment horizontal="center" vertical="top" wrapText="1"/>
      <protection locked="0"/>
    </xf>
    <xf numFmtId="0" fontId="69" fillId="8" borderId="2" xfId="0" applyFont="1" applyFill="1" applyBorder="1" applyAlignment="1">
      <alignment horizontal="center"/>
    </xf>
    <xf numFmtId="0" fontId="53" fillId="8" borderId="2" xfId="10" applyFont="1" applyFill="1" applyBorder="1" applyAlignment="1" applyProtection="1">
      <alignment horizontal="center" vertical="top" wrapText="1"/>
      <protection locked="0"/>
    </xf>
    <xf numFmtId="43" fontId="53" fillId="8" borderId="2" xfId="0" applyNumberFormat="1" applyFont="1" applyFill="1" applyBorder="1" applyAlignment="1">
      <alignment horizontal="center" vertical="top"/>
    </xf>
    <xf numFmtId="0" fontId="53" fillId="0" borderId="0" xfId="0" applyFont="1" applyAlignment="1" applyProtection="1">
      <alignment horizontal="center" vertical="top" wrapText="1"/>
      <protection locked="0"/>
    </xf>
    <xf numFmtId="15" fontId="2" fillId="0" borderId="2" xfId="0" applyNumberFormat="1" applyFont="1" applyBorder="1" applyAlignment="1" applyProtection="1">
      <alignment horizontal="center" vertical="top"/>
      <protection locked="0"/>
    </xf>
    <xf numFmtId="15" fontId="2" fillId="0" borderId="2" xfId="9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2" xfId="10" applyFont="1" applyBorder="1" applyAlignment="1" applyProtection="1">
      <alignment horizontal="left" vertical="top" wrapText="1"/>
      <protection locked="0"/>
    </xf>
    <xf numFmtId="0" fontId="2" fillId="0" borderId="2" xfId="10" applyFont="1" applyBorder="1" applyAlignment="1" applyProtection="1">
      <alignment horizontal="center" vertical="top" wrapText="1"/>
      <protection locked="0"/>
    </xf>
    <xf numFmtId="43" fontId="71" fillId="0" borderId="2" xfId="3" applyFont="1" applyFill="1" applyBorder="1" applyAlignment="1" applyProtection="1">
      <alignment horizontal="center" vertical="top" wrapText="1"/>
    </xf>
    <xf numFmtId="43" fontId="2" fillId="0" borderId="2" xfId="1" applyFont="1" applyFill="1" applyBorder="1" applyAlignment="1" applyProtection="1">
      <alignment vertical="top"/>
    </xf>
    <xf numFmtId="1" fontId="2" fillId="0" borderId="2" xfId="3" applyNumberFormat="1" applyFont="1" applyFill="1" applyBorder="1" applyAlignment="1" applyProtection="1">
      <alignment vertical="top"/>
    </xf>
    <xf numFmtId="1" fontId="2" fillId="8" borderId="2" xfId="3" applyNumberFormat="1" applyFont="1" applyFill="1" applyBorder="1" applyAlignment="1" applyProtection="1">
      <alignment vertical="top"/>
    </xf>
    <xf numFmtId="164" fontId="71" fillId="0" borderId="2" xfId="0" applyNumberFormat="1" applyFont="1" applyBorder="1" applyAlignment="1">
      <alignment vertical="top"/>
    </xf>
    <xf numFmtId="0" fontId="2" fillId="0" borderId="2" xfId="0" applyFont="1" applyBorder="1" applyAlignment="1" applyProtection="1">
      <alignment horizontal="center" vertical="center" wrapText="1"/>
      <protection locked="0"/>
    </xf>
    <xf numFmtId="15" fontId="22" fillId="9" borderId="2" xfId="0" applyNumberFormat="1" applyFont="1" applyFill="1" applyBorder="1" applyAlignment="1">
      <alignment horizontal="center" vertical="center" wrapText="1"/>
    </xf>
    <xf numFmtId="0" fontId="30" fillId="10" borderId="2" xfId="0" applyFont="1" applyFill="1" applyBorder="1" applyAlignment="1">
      <alignment vertical="center" wrapText="1"/>
    </xf>
    <xf numFmtId="15" fontId="22" fillId="9" borderId="3" xfId="0" applyNumberFormat="1" applyFont="1" applyFill="1" applyBorder="1" applyAlignment="1">
      <alignment horizontal="center" vertical="center" wrapText="1"/>
    </xf>
    <xf numFmtId="0" fontId="4" fillId="0" borderId="3" xfId="9" applyBorder="1" applyAlignment="1" applyProtection="1">
      <alignment horizontal="center" vertical="center" wrapText="1"/>
      <protection locked="0"/>
    </xf>
    <xf numFmtId="0" fontId="4" fillId="8" borderId="3" xfId="0" applyFont="1" applyFill="1" applyBorder="1" applyAlignment="1" applyProtection="1">
      <alignment horizontal="center" vertical="center" wrapText="1"/>
      <protection locked="0"/>
    </xf>
    <xf numFmtId="43" fontId="4" fillId="8" borderId="3" xfId="3" applyFont="1" applyFill="1" applyBorder="1" applyAlignment="1" applyProtection="1">
      <alignment horizontal="center" vertical="center" wrapText="1"/>
      <protection locked="0"/>
    </xf>
    <xf numFmtId="43" fontId="4" fillId="0" borderId="3" xfId="3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0" fillId="0" borderId="2" xfId="0" applyBorder="1"/>
    <xf numFmtId="0" fontId="2" fillId="8" borderId="2" xfId="0" applyFont="1" applyFill="1" applyBorder="1" applyAlignment="1">
      <alignment horizontal="center" wrapText="1"/>
    </xf>
    <xf numFmtId="0" fontId="53" fillId="8" borderId="30" xfId="10" applyFont="1" applyFill="1" applyBorder="1" applyAlignment="1" applyProtection="1">
      <alignment horizontal="center" vertical="top" wrapText="1"/>
      <protection locked="0"/>
    </xf>
    <xf numFmtId="14" fontId="53" fillId="8" borderId="2" xfId="0" applyNumberFormat="1" applyFont="1" applyFill="1" applyBorder="1" applyAlignment="1" applyProtection="1">
      <alignment horizontal="center" vertical="top" wrapText="1"/>
      <protection locked="0"/>
    </xf>
    <xf numFmtId="0" fontId="53" fillId="8" borderId="2" xfId="0" applyFont="1" applyFill="1" applyBorder="1" applyAlignment="1" applyProtection="1">
      <alignment horizontal="center" vertical="top"/>
      <protection locked="0"/>
    </xf>
    <xf numFmtId="1" fontId="53" fillId="8" borderId="2" xfId="0" applyNumberFormat="1" applyFont="1" applyFill="1" applyBorder="1" applyAlignment="1" applyProtection="1">
      <alignment horizontal="center" vertical="top" wrapText="1"/>
      <protection locked="0"/>
    </xf>
    <xf numFmtId="43" fontId="2" fillId="8" borderId="2" xfId="0" applyNumberFormat="1" applyFont="1" applyFill="1" applyBorder="1" applyAlignment="1">
      <alignment horizontal="center" vertical="top"/>
    </xf>
    <xf numFmtId="164" fontId="2" fillId="8" borderId="2" xfId="0" applyNumberFormat="1" applyFont="1" applyFill="1" applyBorder="1" applyAlignment="1">
      <alignment horizontal="center" vertical="top"/>
    </xf>
    <xf numFmtId="1" fontId="16" fillId="7" borderId="2" xfId="3" applyNumberFormat="1" applyFont="1" applyFill="1" applyBorder="1" applyAlignment="1" applyProtection="1">
      <alignment horizontal="center" vertical="center" wrapText="1"/>
    </xf>
    <xf numFmtId="15" fontId="2" fillId="8" borderId="2" xfId="0" applyNumberFormat="1" applyFont="1" applyFill="1" applyBorder="1" applyAlignment="1" applyProtection="1">
      <alignment horizontal="center" vertical="top"/>
      <protection locked="0"/>
    </xf>
    <xf numFmtId="15" fontId="2" fillId="8" borderId="2" xfId="9" applyNumberFormat="1" applyFont="1" applyFill="1" applyBorder="1" applyAlignment="1" applyProtection="1">
      <alignment horizontal="center" vertical="center"/>
      <protection locked="0"/>
    </xf>
    <xf numFmtId="0" fontId="2" fillId="8" borderId="2" xfId="0" applyFont="1" applyFill="1" applyBorder="1" applyAlignment="1" applyProtection="1">
      <alignment horizontal="center" vertical="top" wrapText="1"/>
      <protection locked="0"/>
    </xf>
    <xf numFmtId="0" fontId="2" fillId="8" borderId="2" xfId="10" applyFont="1" applyFill="1" applyBorder="1" applyAlignment="1" applyProtection="1">
      <alignment horizontal="left" vertical="top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43" fontId="71" fillId="8" borderId="2" xfId="3" applyFont="1" applyFill="1" applyBorder="1" applyAlignment="1" applyProtection="1">
      <alignment horizontal="center" vertical="top" wrapText="1"/>
    </xf>
    <xf numFmtId="43" fontId="2" fillId="8" borderId="2" xfId="1" applyFont="1" applyFill="1" applyBorder="1" applyAlignment="1" applyProtection="1">
      <alignment vertical="top"/>
    </xf>
    <xf numFmtId="164" fontId="71" fillId="8" borderId="2" xfId="0" applyNumberFormat="1" applyFont="1" applyFill="1" applyBorder="1" applyAlignment="1">
      <alignment vertical="top"/>
    </xf>
    <xf numFmtId="43" fontId="0" fillId="8" borderId="2" xfId="0" applyNumberFormat="1" applyFill="1" applyBorder="1" applyAlignment="1">
      <alignment vertical="top"/>
    </xf>
    <xf numFmtId="0" fontId="2" fillId="8" borderId="3" xfId="0" applyFont="1" applyFill="1" applyBorder="1" applyAlignment="1" applyProtection="1">
      <alignment vertical="top" wrapText="1"/>
      <protection locked="0"/>
    </xf>
    <xf numFmtId="43" fontId="4" fillId="0" borderId="5" xfId="3" applyFont="1" applyFill="1" applyBorder="1" applyAlignment="1" applyProtection="1">
      <alignment horizontal="center" vertical="center" wrapText="1"/>
      <protection locked="0"/>
    </xf>
    <xf numFmtId="43" fontId="4" fillId="0" borderId="5" xfId="3" applyFont="1" applyFill="1" applyBorder="1" applyAlignment="1" applyProtection="1">
      <alignment horizontal="center" vertical="center" wrapText="1"/>
    </xf>
    <xf numFmtId="15" fontId="2" fillId="8" borderId="2" xfId="0" applyNumberFormat="1" applyFont="1" applyFill="1" applyBorder="1" applyAlignment="1" applyProtection="1">
      <alignment horizontal="center" vertical="center"/>
      <protection locked="0"/>
    </xf>
    <xf numFmtId="0" fontId="2" fillId="8" borderId="2" xfId="0" applyFont="1" applyFill="1" applyBorder="1" applyAlignment="1" applyProtection="1">
      <alignment horizontal="left" vertical="top" wrapText="1"/>
      <protection locked="0"/>
    </xf>
    <xf numFmtId="43" fontId="2" fillId="8" borderId="2" xfId="1" applyFont="1" applyFill="1" applyBorder="1" applyAlignment="1" applyProtection="1">
      <alignment vertical="top" wrapText="1"/>
      <protection locked="0"/>
    </xf>
    <xf numFmtId="2" fontId="2" fillId="8" borderId="2" xfId="0" applyNumberFormat="1" applyFont="1" applyFill="1" applyBorder="1" applyAlignment="1" applyProtection="1">
      <alignment vertical="top" wrapText="1"/>
      <protection locked="0"/>
    </xf>
    <xf numFmtId="1" fontId="2" fillId="8" borderId="2" xfId="1" applyNumberFormat="1" applyFont="1" applyFill="1" applyBorder="1" applyAlignment="1" applyProtection="1">
      <alignment vertical="top"/>
    </xf>
    <xf numFmtId="43" fontId="2" fillId="8" borderId="2" xfId="0" applyNumberFormat="1" applyFont="1" applyFill="1" applyBorder="1" applyAlignment="1">
      <alignment vertical="top"/>
    </xf>
    <xf numFmtId="164" fontId="2" fillId="8" borderId="2" xfId="0" applyNumberFormat="1" applyFont="1" applyFill="1" applyBorder="1" applyAlignment="1">
      <alignment vertical="top"/>
    </xf>
    <xf numFmtId="0" fontId="2" fillId="8" borderId="2" xfId="0" applyFont="1" applyFill="1" applyBorder="1" applyAlignment="1" applyProtection="1">
      <alignment vertical="top" wrapText="1"/>
      <protection locked="0"/>
    </xf>
    <xf numFmtId="43" fontId="2" fillId="8" borderId="2" xfId="3" applyFont="1" applyFill="1" applyBorder="1" applyAlignment="1" applyProtection="1">
      <alignment vertical="top" wrapText="1"/>
      <protection locked="0"/>
    </xf>
    <xf numFmtId="15" fontId="2" fillId="8" borderId="2" xfId="0" quotePrefix="1" applyNumberFormat="1" applyFont="1" applyFill="1" applyBorder="1" applyAlignment="1" applyProtection="1">
      <alignment vertical="top" wrapText="1"/>
      <protection locked="0"/>
    </xf>
    <xf numFmtId="2" fontId="2" fillId="8" borderId="2" xfId="10" applyNumberFormat="1" applyFont="1" applyFill="1" applyBorder="1" applyAlignment="1" applyProtection="1">
      <alignment vertical="top" wrapText="1"/>
      <protection locked="0"/>
    </xf>
    <xf numFmtId="4" fontId="2" fillId="8" borderId="2" xfId="0" applyNumberFormat="1" applyFont="1" applyFill="1" applyBorder="1" applyAlignment="1" applyProtection="1">
      <alignment horizontal="center" vertical="top" wrapText="1"/>
      <protection locked="0"/>
    </xf>
    <xf numFmtId="43" fontId="2" fillId="8" borderId="2" xfId="1" applyFont="1" applyFill="1" applyBorder="1" applyAlignment="1" applyProtection="1">
      <alignment horizontal="center" vertical="top" wrapText="1"/>
    </xf>
    <xf numFmtId="49" fontId="2" fillId="8" borderId="2" xfId="0" applyNumberFormat="1" applyFont="1" applyFill="1" applyBorder="1" applyAlignment="1" applyProtection="1">
      <alignment horizontal="center" vertical="top" wrapText="1"/>
      <protection locked="0"/>
    </xf>
    <xf numFmtId="43" fontId="2" fillId="8" borderId="2" xfId="2" applyFont="1" applyFill="1" applyBorder="1" applyAlignment="1" applyProtection="1">
      <alignment horizontal="center" vertical="top" wrapText="1"/>
    </xf>
    <xf numFmtId="0" fontId="2" fillId="8" borderId="2" xfId="10" applyFont="1" applyFill="1" applyBorder="1" applyAlignment="1" applyProtection="1">
      <alignment vertical="top" wrapText="1"/>
      <protection locked="0"/>
    </xf>
    <xf numFmtId="0" fontId="22" fillId="8" borderId="2" xfId="0" applyFont="1" applyFill="1" applyBorder="1" applyAlignment="1" applyProtection="1">
      <alignment horizontal="justify" vertical="top" wrapText="1"/>
      <protection locked="0"/>
    </xf>
    <xf numFmtId="0" fontId="2" fillId="8" borderId="2" xfId="10" applyFont="1" applyFill="1" applyBorder="1" applyAlignment="1" applyProtection="1">
      <alignment horizontal="center" vertical="top" wrapText="1"/>
      <protection locked="0"/>
    </xf>
    <xf numFmtId="43" fontId="2" fillId="8" borderId="2" xfId="5" applyFont="1" applyFill="1" applyBorder="1" applyAlignment="1" applyProtection="1">
      <alignment horizontal="center" vertical="top" wrapText="1"/>
    </xf>
    <xf numFmtId="1" fontId="2" fillId="8" borderId="2" xfId="5" applyNumberFormat="1" applyFont="1" applyFill="1" applyBorder="1" applyAlignment="1" applyProtection="1">
      <alignment vertical="top"/>
    </xf>
    <xf numFmtId="43" fontId="2" fillId="8" borderId="2" xfId="5" applyFont="1" applyFill="1" applyBorder="1" applyAlignment="1" applyProtection="1">
      <alignment vertical="top" wrapText="1"/>
      <protection locked="0"/>
    </xf>
    <xf numFmtId="1" fontId="2" fillId="8" borderId="2" xfId="0" applyNumberFormat="1" applyFont="1" applyFill="1" applyBorder="1"/>
    <xf numFmtId="43" fontId="2" fillId="8" borderId="2" xfId="3" applyFont="1" applyFill="1" applyBorder="1" applyAlignment="1" applyProtection="1">
      <alignment horizontal="center" vertical="top" wrapText="1"/>
    </xf>
    <xf numFmtId="43" fontId="2" fillId="8" borderId="2" xfId="3" applyFont="1" applyFill="1" applyBorder="1" applyAlignment="1" applyProtection="1">
      <alignment vertical="top"/>
    </xf>
    <xf numFmtId="43" fontId="2" fillId="8" borderId="2" xfId="10" applyNumberFormat="1" applyFont="1" applyFill="1" applyBorder="1" applyAlignment="1" applyProtection="1">
      <alignment horizontal="center" vertical="top" wrapText="1"/>
      <protection locked="0"/>
    </xf>
    <xf numFmtId="166" fontId="2" fillId="8" borderId="2" xfId="0" applyNumberFormat="1" applyFont="1" applyFill="1" applyBorder="1" applyAlignment="1" applyProtection="1">
      <alignment horizontal="center" vertical="top"/>
      <protection locked="0"/>
    </xf>
    <xf numFmtId="1" fontId="2" fillId="8" borderId="2" xfId="0" applyNumberFormat="1" applyFont="1" applyFill="1" applyBorder="1" applyAlignment="1" applyProtection="1">
      <alignment horizontal="center" vertical="top" wrapText="1"/>
      <protection locked="0"/>
    </xf>
    <xf numFmtId="14" fontId="2" fillId="8" borderId="2" xfId="0" applyNumberFormat="1" applyFont="1" applyFill="1" applyBorder="1" applyAlignment="1" applyProtection="1">
      <alignment horizontal="center" vertical="top" wrapText="1"/>
      <protection locked="0"/>
    </xf>
    <xf numFmtId="43" fontId="2" fillId="8" borderId="2" xfId="1" applyFont="1" applyFill="1" applyBorder="1" applyAlignment="1" applyProtection="1">
      <alignment horizontal="center" vertical="top"/>
    </xf>
    <xf numFmtId="1" fontId="2" fillId="8" borderId="2" xfId="3" applyNumberFormat="1" applyFont="1" applyFill="1" applyBorder="1" applyAlignment="1" applyProtection="1">
      <alignment horizontal="center" vertical="top"/>
    </xf>
    <xf numFmtId="41" fontId="2" fillId="8" borderId="2" xfId="3" applyNumberFormat="1" applyFont="1" applyFill="1" applyBorder="1" applyAlignment="1" applyProtection="1">
      <alignment horizontal="center" vertical="top"/>
    </xf>
    <xf numFmtId="15" fontId="4" fillId="0" borderId="4" xfId="9" applyNumberFormat="1" applyBorder="1" applyAlignment="1" applyProtection="1">
      <alignment horizontal="center" vertical="center"/>
      <protection locked="0"/>
    </xf>
    <xf numFmtId="43" fontId="4" fillId="0" borderId="4" xfId="3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43" fontId="4" fillId="0" borderId="4" xfId="9" applyNumberFormat="1" applyBorder="1" applyAlignment="1" applyProtection="1">
      <alignment horizontal="center" vertical="center" wrapText="1"/>
      <protection locked="0"/>
    </xf>
    <xf numFmtId="164" fontId="14" fillId="0" borderId="4" xfId="0" applyNumberFormat="1" applyFont="1" applyBorder="1" applyAlignment="1">
      <alignment horizontal="center" vertical="center"/>
    </xf>
    <xf numFmtId="43" fontId="14" fillId="0" borderId="4" xfId="3" applyFont="1" applyFill="1" applyBorder="1" applyAlignment="1" applyProtection="1">
      <alignment horizontal="center" vertical="center"/>
    </xf>
    <xf numFmtId="43" fontId="4" fillId="0" borderId="18" xfId="3" applyFont="1" applyFill="1" applyBorder="1" applyAlignment="1" applyProtection="1">
      <alignment horizontal="center" vertical="center" wrapText="1"/>
      <protection locked="0"/>
    </xf>
    <xf numFmtId="0" fontId="52" fillId="0" borderId="0" xfId="9" applyFont="1" applyAlignment="1" applyProtection="1">
      <alignment horizontal="center"/>
      <protection locked="0"/>
    </xf>
    <xf numFmtId="43" fontId="54" fillId="0" borderId="45" xfId="3" applyFont="1" applyFill="1" applyBorder="1" applyAlignment="1" applyProtection="1"/>
    <xf numFmtId="0" fontId="55" fillId="0" borderId="0" xfId="9" applyFont="1" applyProtection="1">
      <protection locked="0"/>
    </xf>
    <xf numFmtId="0" fontId="56" fillId="0" borderId="0" xfId="9" applyFont="1" applyProtection="1">
      <protection locked="0"/>
    </xf>
    <xf numFmtId="164" fontId="56" fillId="0" borderId="0" xfId="9" applyNumberFormat="1" applyFont="1"/>
    <xf numFmtId="43" fontId="54" fillId="0" borderId="45" xfId="3" applyFont="1" applyFill="1" applyBorder="1" applyAlignment="1" applyProtection="1">
      <protection locked="0"/>
    </xf>
    <xf numFmtId="0" fontId="52" fillId="0" borderId="19" xfId="9" applyFont="1" applyBorder="1" applyAlignment="1" applyProtection="1">
      <alignment wrapText="1"/>
      <protection locked="0"/>
    </xf>
    <xf numFmtId="0" fontId="1" fillId="0" borderId="2" xfId="9" applyFont="1" applyBorder="1" applyAlignment="1" applyProtection="1">
      <alignment horizontal="center" vertical="center"/>
      <protection locked="0"/>
    </xf>
    <xf numFmtId="43" fontId="4" fillId="0" borderId="4" xfId="3" applyFont="1" applyFill="1" applyBorder="1" applyAlignment="1" applyProtection="1">
      <alignment horizontal="center" vertical="center" wrapText="1"/>
    </xf>
    <xf numFmtId="43" fontId="53" fillId="3" borderId="2" xfId="0" applyNumberFormat="1" applyFont="1" applyFill="1" applyBorder="1" applyAlignment="1">
      <alignment horizontal="center" vertical="top"/>
    </xf>
    <xf numFmtId="0" fontId="0" fillId="0" borderId="0" xfId="0" applyAlignment="1">
      <alignment wrapText="1"/>
    </xf>
    <xf numFmtId="43" fontId="4" fillId="0" borderId="48" xfId="3" applyFont="1" applyFill="1" applyBorder="1" applyAlignment="1" applyProtection="1">
      <alignment horizontal="center" vertical="center" wrapText="1"/>
    </xf>
    <xf numFmtId="15" fontId="74" fillId="9" borderId="2" xfId="0" applyNumberFormat="1" applyFont="1" applyFill="1" applyBorder="1" applyAlignment="1">
      <alignment horizontal="center" vertical="center" wrapText="1"/>
    </xf>
    <xf numFmtId="0" fontId="75" fillId="10" borderId="2" xfId="0" applyFont="1" applyFill="1" applyBorder="1" applyAlignment="1">
      <alignment horizontal="center" vertical="center" wrapText="1"/>
    </xf>
    <xf numFmtId="43" fontId="74" fillId="9" borderId="2" xfId="0" applyNumberFormat="1" applyFont="1" applyFill="1" applyBorder="1" applyAlignment="1">
      <alignment horizontal="center" vertical="center" wrapText="1"/>
    </xf>
    <xf numFmtId="1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0" fillId="0" borderId="2" xfId="0" applyNumberFormat="1" applyBorder="1" applyAlignment="1">
      <alignment horizontal="center" vertical="center"/>
    </xf>
    <xf numFmtId="43" fontId="63" fillId="8" borderId="2" xfId="3" applyFont="1" applyFill="1" applyBorder="1" applyAlignment="1" applyProtection="1">
      <alignment horizontal="center" vertical="center"/>
    </xf>
    <xf numFmtId="164" fontId="63" fillId="0" borderId="2" xfId="0" applyNumberFormat="1" applyFont="1" applyBorder="1" applyAlignment="1">
      <alignment horizontal="center" vertical="center"/>
    </xf>
    <xf numFmtId="0" fontId="53" fillId="0" borderId="2" xfId="0" applyFont="1" applyBorder="1" applyAlignment="1" applyProtection="1">
      <alignment horizontal="center" vertical="center" wrapText="1"/>
      <protection locked="0"/>
    </xf>
    <xf numFmtId="49" fontId="63" fillId="8" borderId="2" xfId="0" applyNumberFormat="1" applyFont="1" applyFill="1" applyBorder="1" applyAlignment="1">
      <alignment horizontal="left" wrapText="1"/>
    </xf>
    <xf numFmtId="49" fontId="63" fillId="8" borderId="2" xfId="0" applyNumberFormat="1" applyFont="1" applyFill="1" applyBorder="1" applyAlignment="1">
      <alignment horizontal="center" vertical="top" wrapText="1"/>
    </xf>
    <xf numFmtId="4" fontId="76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63" fillId="8" borderId="2" xfId="0" applyNumberFormat="1" applyFont="1" applyFill="1" applyBorder="1" applyAlignment="1">
      <alignment wrapText="1"/>
    </xf>
    <xf numFmtId="43" fontId="0" fillId="0" borderId="2" xfId="0" applyNumberFormat="1" applyBorder="1"/>
    <xf numFmtId="49" fontId="63" fillId="8" borderId="4" xfId="0" applyNumberFormat="1" applyFont="1" applyFill="1" applyBorder="1" applyAlignment="1">
      <alignment horizontal="left" wrapText="1"/>
    </xf>
    <xf numFmtId="49" fontId="63" fillId="8" borderId="4" xfId="0" applyNumberFormat="1" applyFont="1" applyFill="1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63" fillId="8" borderId="4" xfId="3" applyFont="1" applyFill="1" applyBorder="1" applyAlignment="1" applyProtection="1">
      <alignment horizontal="center" vertical="center"/>
    </xf>
    <xf numFmtId="164" fontId="63" fillId="0" borderId="4" xfId="0" applyNumberFormat="1" applyFont="1" applyBorder="1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wrapText="1"/>
    </xf>
    <xf numFmtId="43" fontId="77" fillId="0" borderId="0" xfId="0" applyNumberFormat="1" applyFont="1"/>
    <xf numFmtId="0" fontId="0" fillId="0" borderId="0" xfId="0" applyAlignment="1">
      <alignment vertical="center" wrapText="1"/>
    </xf>
    <xf numFmtId="0" fontId="17" fillId="0" borderId="0" xfId="9" applyFont="1" applyAlignment="1">
      <alignment horizontal="center"/>
    </xf>
    <xf numFmtId="0" fontId="23" fillId="0" borderId="0" xfId="9" applyFont="1" applyAlignment="1">
      <alignment horizontal="center"/>
    </xf>
    <xf numFmtId="0" fontId="34" fillId="0" borderId="0" xfId="0" applyFont="1" applyAlignment="1">
      <alignment horizontal="left" indent="1"/>
    </xf>
    <xf numFmtId="0" fontId="34" fillId="0" borderId="0" xfId="0" applyFont="1" applyAlignment="1">
      <alignment horizontal="left" indent="2"/>
    </xf>
    <xf numFmtId="0" fontId="0" fillId="8" borderId="2" xfId="0" applyFill="1" applyBorder="1" applyAlignment="1" applyProtection="1">
      <alignment horizontal="center" vertical="center" wrapText="1"/>
      <protection locked="0"/>
    </xf>
    <xf numFmtId="15" fontId="16" fillId="8" borderId="2" xfId="9" applyNumberFormat="1" applyFont="1" applyFill="1" applyBorder="1" applyAlignment="1" applyProtection="1">
      <alignment horizontal="center" vertical="center"/>
      <protection locked="0"/>
    </xf>
    <xf numFmtId="0" fontId="53" fillId="8" borderId="2" xfId="0" applyFont="1" applyFill="1" applyBorder="1" applyAlignment="1">
      <alignment wrapText="1"/>
    </xf>
    <xf numFmtId="0" fontId="79" fillId="0" borderId="0" xfId="0" applyFont="1" applyAlignment="1">
      <alignment horizontal="left"/>
    </xf>
    <xf numFmtId="43" fontId="84" fillId="0" borderId="0" xfId="3" applyFont="1" applyFill="1" applyBorder="1" applyAlignment="1" applyProtection="1">
      <alignment vertical="top" wrapText="1"/>
      <protection locked="0"/>
    </xf>
    <xf numFmtId="0" fontId="81" fillId="0" borderId="0" xfId="0" applyFont="1"/>
    <xf numFmtId="0" fontId="79" fillId="0" borderId="21" xfId="0" applyFont="1" applyBorder="1" applyAlignment="1">
      <alignment horizontal="left"/>
    </xf>
    <xf numFmtId="43" fontId="84" fillId="0" borderId="0" xfId="3" applyFont="1" applyFill="1" applyBorder="1" applyAlignment="1" applyProtection="1">
      <alignment vertical="top"/>
      <protection locked="0"/>
    </xf>
    <xf numFmtId="0" fontId="85" fillId="0" borderId="0" xfId="0" applyFont="1"/>
    <xf numFmtId="0" fontId="86" fillId="0" borderId="0" xfId="0" applyFont="1"/>
    <xf numFmtId="0" fontId="81" fillId="0" borderId="21" xfId="0" applyFont="1" applyBorder="1"/>
    <xf numFmtId="0" fontId="87" fillId="0" borderId="21" xfId="0" applyFont="1" applyBorder="1" applyAlignment="1">
      <alignment horizontal="left" indent="2"/>
    </xf>
    <xf numFmtId="0" fontId="86" fillId="0" borderId="0" xfId="0" applyFont="1" applyAlignment="1">
      <alignment horizontal="left" indent="8"/>
    </xf>
    <xf numFmtId="0" fontId="86" fillId="0" borderId="0" xfId="0" applyFont="1" applyAlignment="1">
      <alignment horizontal="left" indent="7"/>
    </xf>
    <xf numFmtId="0" fontId="89" fillId="7" borderId="37" xfId="0" applyFont="1" applyFill="1" applyBorder="1" applyAlignment="1" applyProtection="1">
      <alignment horizontal="center" vertical="top" wrapText="1"/>
      <protection locked="0"/>
    </xf>
    <xf numFmtId="43" fontId="1" fillId="0" borderId="0" xfId="7" applyFont="1" applyFill="1" applyBorder="1" applyAlignment="1" applyProtection="1">
      <alignment horizontal="left" vertical="top" wrapText="1" indent="1"/>
      <protection locked="0"/>
    </xf>
    <xf numFmtId="0" fontId="24" fillId="0" borderId="0" xfId="9" applyFont="1"/>
    <xf numFmtId="0" fontId="24" fillId="0" borderId="19" xfId="9" applyFont="1" applyBorder="1"/>
    <xf numFmtId="0" fontId="17" fillId="0" borderId="0" xfId="9" applyFont="1"/>
    <xf numFmtId="0" fontId="20" fillId="0" borderId="0" xfId="0" applyFont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23" fillId="0" borderId="22" xfId="9" applyFont="1" applyBorder="1" applyAlignment="1">
      <alignment horizontal="left" vertical="top"/>
    </xf>
    <xf numFmtId="0" fontId="1" fillId="0" borderId="6" xfId="9" applyFont="1" applyBorder="1" applyProtection="1">
      <protection locked="0"/>
    </xf>
    <xf numFmtId="0" fontId="3" fillId="0" borderId="6" xfId="9" applyFont="1" applyBorder="1" applyProtection="1">
      <protection locked="0"/>
    </xf>
    <xf numFmtId="0" fontId="1" fillId="0" borderId="0" xfId="9" applyFont="1" applyAlignment="1" applyProtection="1">
      <alignment horizontal="left" indent="19"/>
      <protection locked="0"/>
    </xf>
    <xf numFmtId="0" fontId="34" fillId="0" borderId="0" xfId="9" applyFont="1" applyAlignment="1">
      <alignment horizontal="left" indent="2"/>
    </xf>
    <xf numFmtId="0" fontId="4" fillId="0" borderId="0" xfId="0" applyFont="1" applyAlignment="1">
      <alignment horizontal="left"/>
    </xf>
    <xf numFmtId="0" fontId="34" fillId="0" borderId="0" xfId="9" applyFont="1" applyAlignment="1">
      <alignment horizontal="left" vertical="top"/>
    </xf>
    <xf numFmtId="0" fontId="34" fillId="0" borderId="0" xfId="9" applyFont="1"/>
    <xf numFmtId="0" fontId="17" fillId="0" borderId="0" xfId="9" applyFont="1" applyAlignment="1">
      <alignment horizontal="left" indent="1"/>
    </xf>
    <xf numFmtId="0" fontId="34" fillId="0" borderId="0" xfId="9" applyFont="1" applyAlignment="1">
      <alignment horizontal="left" vertical="top" indent="6"/>
    </xf>
    <xf numFmtId="0" fontId="17" fillId="0" borderId="0" xfId="9" applyFont="1" applyAlignment="1">
      <alignment horizontal="left" indent="5"/>
    </xf>
    <xf numFmtId="166" fontId="23" fillId="0" borderId="0" xfId="9" applyNumberFormat="1" applyFont="1"/>
    <xf numFmtId="43" fontId="4" fillId="0" borderId="0" xfId="3" applyFont="1" applyFill="1" applyBorder="1" applyAlignment="1" applyProtection="1">
      <alignment horizontal="center" vertical="center" wrapText="1"/>
      <protection locked="0"/>
    </xf>
    <xf numFmtId="0" fontId="34" fillId="0" borderId="0" xfId="9" applyFont="1" applyAlignment="1">
      <alignment vertical="center"/>
    </xf>
    <xf numFmtId="0" fontId="17" fillId="0" borderId="0" xfId="9" applyFont="1" applyAlignment="1">
      <alignment vertical="center"/>
    </xf>
    <xf numFmtId="0" fontId="22" fillId="0" borderId="0" xfId="9" applyFont="1" applyProtection="1">
      <protection locked="0"/>
    </xf>
    <xf numFmtId="0" fontId="23" fillId="0" borderId="0" xfId="9" applyFont="1"/>
    <xf numFmtId="0" fontId="22" fillId="0" borderId="19" xfId="9" applyFont="1" applyBorder="1" applyProtection="1">
      <protection locked="0"/>
    </xf>
    <xf numFmtId="0" fontId="0" fillId="0" borderId="2" xfId="0" applyBorder="1" applyAlignment="1">
      <alignment horizontal="center"/>
    </xf>
    <xf numFmtId="166" fontId="15" fillId="0" borderId="0" xfId="0" applyNumberFormat="1" applyFont="1" applyAlignment="1" applyProtection="1">
      <alignment vertical="top"/>
      <protection locked="0"/>
    </xf>
    <xf numFmtId="0" fontId="2" fillId="8" borderId="2" xfId="0" applyFont="1" applyFill="1" applyBorder="1" applyAlignment="1" applyProtection="1">
      <alignment horizontal="center" vertical="top"/>
      <protection locked="0"/>
    </xf>
    <xf numFmtId="166" fontId="2" fillId="0" borderId="2" xfId="0" applyNumberFormat="1" applyFont="1" applyBorder="1" applyAlignment="1" applyProtection="1">
      <alignment horizontal="center" vertical="top"/>
      <protection locked="0"/>
    </xf>
    <xf numFmtId="0" fontId="53" fillId="0" borderId="2" xfId="0" applyFont="1" applyBorder="1"/>
    <xf numFmtId="166" fontId="2" fillId="0" borderId="2" xfId="0" applyNumberFormat="1" applyFont="1" applyBorder="1" applyAlignment="1" applyProtection="1">
      <alignment vertical="top"/>
      <protection locked="0"/>
    </xf>
    <xf numFmtId="43" fontId="53" fillId="8" borderId="2" xfId="0" applyNumberFormat="1" applyFont="1" applyFill="1" applyBorder="1" applyAlignment="1">
      <alignment horizontal="center" vertical="top" wrapText="1"/>
    </xf>
    <xf numFmtId="166" fontId="2" fillId="8" borderId="2" xfId="0" applyNumberFormat="1" applyFont="1" applyFill="1" applyBorder="1" applyAlignment="1" applyProtection="1">
      <alignment vertical="top"/>
      <protection locked="0"/>
    </xf>
    <xf numFmtId="0" fontId="53" fillId="0" borderId="2" xfId="0" applyFont="1" applyBorder="1" applyAlignment="1">
      <alignment wrapText="1"/>
    </xf>
    <xf numFmtId="43" fontId="72" fillId="0" borderId="2" xfId="0" applyNumberFormat="1" applyFont="1" applyBorder="1"/>
    <xf numFmtId="15" fontId="0" fillId="8" borderId="2" xfId="0" applyNumberForma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2" xfId="0" applyFill="1" applyBorder="1" applyAlignment="1">
      <alignment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/>
    </xf>
    <xf numFmtId="43" fontId="0" fillId="8" borderId="2" xfId="0" applyNumberFormat="1" applyFill="1" applyBorder="1" applyAlignment="1">
      <alignment horizontal="center" vertical="center"/>
    </xf>
    <xf numFmtId="164" fontId="63" fillId="8" borderId="2" xfId="0" applyNumberFormat="1" applyFont="1" applyFill="1" applyBorder="1" applyAlignment="1">
      <alignment horizontal="center" vertical="center"/>
    </xf>
    <xf numFmtId="4" fontId="76" fillId="8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wrapText="1"/>
    </xf>
    <xf numFmtId="43" fontId="4" fillId="0" borderId="30" xfId="9" applyNumberForma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left" indent="10"/>
    </xf>
    <xf numFmtId="166" fontId="16" fillId="0" borderId="0" xfId="0" applyNumberFormat="1" applyFont="1" applyAlignment="1">
      <alignment horizontal="left" indent="5"/>
    </xf>
    <xf numFmtId="166" fontId="24" fillId="0" borderId="0" xfId="0" applyNumberFormat="1" applyFont="1" applyAlignment="1">
      <alignment horizontal="left" indent="2"/>
    </xf>
    <xf numFmtId="166" fontId="72" fillId="0" borderId="0" xfId="0" applyNumberFormat="1" applyFont="1"/>
    <xf numFmtId="0" fontId="24" fillId="0" borderId="0" xfId="9" applyFont="1" applyAlignment="1">
      <alignment horizontal="left"/>
    </xf>
    <xf numFmtId="0" fontId="24" fillId="0" borderId="0" xfId="9" applyFont="1" applyAlignment="1">
      <alignment horizontal="left" indent="5"/>
    </xf>
    <xf numFmtId="0" fontId="16" fillId="0" borderId="0" xfId="9" applyFont="1" applyAlignment="1">
      <alignment horizontal="left" indent="5"/>
    </xf>
    <xf numFmtId="0" fontId="93" fillId="0" borderId="5" xfId="9" applyFont="1" applyBorder="1" applyAlignment="1" applyProtection="1">
      <alignment horizontal="center"/>
      <protection locked="0"/>
    </xf>
    <xf numFmtId="43" fontId="62" fillId="0" borderId="20" xfId="3" applyFont="1" applyFill="1" applyBorder="1" applyAlignment="1" applyProtection="1"/>
    <xf numFmtId="0" fontId="62" fillId="0" borderId="5" xfId="9" applyFont="1" applyBorder="1" applyProtection="1">
      <protection locked="0"/>
    </xf>
    <xf numFmtId="0" fontId="94" fillId="0" borderId="5" xfId="9" applyFont="1" applyBorder="1" applyProtection="1">
      <protection locked="0"/>
    </xf>
    <xf numFmtId="43" fontId="94" fillId="0" borderId="5" xfId="9" applyNumberFormat="1" applyFont="1" applyBorder="1"/>
    <xf numFmtId="164" fontId="94" fillId="0" borderId="5" xfId="9" applyNumberFormat="1" applyFont="1" applyBorder="1"/>
    <xf numFmtId="43" fontId="62" fillId="0" borderId="20" xfId="3" applyFont="1" applyFill="1" applyBorder="1" applyAlignment="1" applyProtection="1">
      <protection locked="0"/>
    </xf>
    <xf numFmtId="0" fontId="95" fillId="0" borderId="22" xfId="9" applyFont="1" applyBorder="1" applyAlignment="1" applyProtection="1">
      <alignment wrapText="1"/>
      <protection locked="0"/>
    </xf>
    <xf numFmtId="43" fontId="62" fillId="0" borderId="5" xfId="3" applyFont="1" applyFill="1" applyBorder="1" applyAlignment="1" applyProtection="1">
      <protection locked="0"/>
    </xf>
    <xf numFmtId="0" fontId="95" fillId="0" borderId="0" xfId="9" applyFont="1" applyAlignment="1" applyProtection="1">
      <alignment horizontal="center" vertical="top" wrapText="1"/>
      <protection locked="0"/>
    </xf>
    <xf numFmtId="0" fontId="95" fillId="0" borderId="0" xfId="9" applyFont="1" applyAlignment="1" applyProtection="1">
      <alignment vertical="top" wrapText="1"/>
      <protection locked="0"/>
    </xf>
    <xf numFmtId="0" fontId="95" fillId="0" borderId="0" xfId="9" applyFont="1" applyAlignment="1" applyProtection="1">
      <alignment horizontal="center" vertical="top"/>
      <protection locked="0"/>
    </xf>
    <xf numFmtId="43" fontId="95" fillId="0" borderId="0" xfId="3" applyFont="1" applyFill="1" applyBorder="1" applyAlignment="1" applyProtection="1">
      <alignment vertical="top"/>
      <protection locked="0"/>
    </xf>
    <xf numFmtId="0" fontId="95" fillId="0" borderId="0" xfId="9" applyFont="1" applyProtection="1">
      <protection locked="0"/>
    </xf>
    <xf numFmtId="43" fontId="96" fillId="0" borderId="0" xfId="3" applyFont="1" applyFill="1" applyBorder="1" applyAlignment="1" applyProtection="1">
      <alignment vertical="top"/>
    </xf>
    <xf numFmtId="0" fontId="96" fillId="0" borderId="0" xfId="9" applyFont="1" applyAlignment="1" applyProtection="1">
      <alignment vertical="top"/>
      <protection locked="0"/>
    </xf>
    <xf numFmtId="43" fontId="96" fillId="0" borderId="0" xfId="9" applyNumberFormat="1" applyFont="1" applyAlignment="1">
      <alignment vertical="top"/>
    </xf>
    <xf numFmtId="164" fontId="96" fillId="0" borderId="0" xfId="9" applyNumberFormat="1" applyFont="1" applyAlignment="1">
      <alignment vertical="top"/>
    </xf>
    <xf numFmtId="0" fontId="62" fillId="0" borderId="0" xfId="0" applyFont="1" applyAlignment="1" applyProtection="1">
      <alignment horizontal="left" indent="15"/>
      <protection locked="0"/>
    </xf>
    <xf numFmtId="0" fontId="95" fillId="0" borderId="5" xfId="0" applyFont="1" applyBorder="1" applyAlignment="1" applyProtection="1">
      <alignment horizontal="left" indent="15"/>
      <protection locked="0"/>
    </xf>
    <xf numFmtId="43" fontId="62" fillId="0" borderId="20" xfId="7" applyFont="1" applyFill="1" applyBorder="1" applyAlignment="1" applyProtection="1">
      <protection locked="0"/>
    </xf>
    <xf numFmtId="0" fontId="97" fillId="0" borderId="5" xfId="0" applyFont="1" applyBorder="1" applyProtection="1">
      <protection locked="0"/>
    </xf>
    <xf numFmtId="0" fontId="96" fillId="0" borderId="5" xfId="0" applyFont="1" applyBorder="1" applyProtection="1">
      <protection locked="0"/>
    </xf>
    <xf numFmtId="43" fontId="96" fillId="0" borderId="5" xfId="0" applyNumberFormat="1" applyFont="1" applyBorder="1"/>
    <xf numFmtId="164" fontId="96" fillId="0" borderId="5" xfId="0" applyNumberFormat="1" applyFont="1" applyBorder="1"/>
    <xf numFmtId="43" fontId="62" fillId="0" borderId="5" xfId="7" applyFont="1" applyFill="1" applyBorder="1" applyAlignment="1" applyProtection="1">
      <protection locked="0"/>
    </xf>
    <xf numFmtId="43" fontId="98" fillId="0" borderId="0" xfId="3" applyFont="1" applyFill="1" applyBorder="1" applyAlignment="1" applyProtection="1">
      <alignment vertical="top"/>
      <protection locked="0"/>
    </xf>
    <xf numFmtId="0" fontId="99" fillId="0" borderId="0" xfId="0" applyFont="1"/>
    <xf numFmtId="1" fontId="53" fillId="8" borderId="2" xfId="0" applyNumberFormat="1" applyFont="1" applyFill="1" applyBorder="1" applyAlignment="1" applyProtection="1">
      <alignment horizontal="center" vertical="top"/>
      <protection locked="0"/>
    </xf>
    <xf numFmtId="0" fontId="53" fillId="0" borderId="2" xfId="0" applyFont="1" applyBorder="1" applyAlignment="1" applyProtection="1">
      <alignment horizontal="center" vertical="top" wrapText="1"/>
      <protection locked="0"/>
    </xf>
    <xf numFmtId="0" fontId="53" fillId="0" borderId="2" xfId="0" applyFont="1" applyBorder="1" applyAlignment="1">
      <alignment vertical="top"/>
    </xf>
    <xf numFmtId="15" fontId="81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53" fillId="0" borderId="2" xfId="0" applyFont="1" applyBorder="1" applyAlignment="1">
      <alignment horizontal="center" vertical="center" wrapText="1"/>
    </xf>
    <xf numFmtId="15" fontId="4" fillId="0" borderId="0" xfId="9" applyNumberFormat="1" applyAlignment="1" applyProtection="1">
      <alignment horizontal="center" vertical="center"/>
      <protection locked="0"/>
    </xf>
    <xf numFmtId="43" fontId="4" fillId="0" borderId="0" xfId="3" applyFont="1" applyFill="1" applyBorder="1" applyAlignment="1" applyProtection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43" fontId="4" fillId="0" borderId="19" xfId="3" applyFont="1" applyFill="1" applyBorder="1" applyAlignment="1" applyProtection="1">
      <alignment horizontal="center" vertical="center" wrapText="1"/>
      <protection locked="0"/>
    </xf>
    <xf numFmtId="0" fontId="66" fillId="10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 applyProtection="1">
      <alignment vertical="top"/>
      <protection locked="0"/>
    </xf>
    <xf numFmtId="0" fontId="2" fillId="8" borderId="2" xfId="0" applyFont="1" applyFill="1" applyBorder="1" applyAlignment="1" applyProtection="1">
      <alignment horizontal="left" vertical="top"/>
      <protection locked="0"/>
    </xf>
    <xf numFmtId="0" fontId="16" fillId="9" borderId="2" xfId="0" applyFont="1" applyFill="1" applyBorder="1" applyAlignment="1">
      <alignment horizontal="center" vertical="center" wrapText="1"/>
    </xf>
    <xf numFmtId="0" fontId="53" fillId="0" borderId="2" xfId="0" applyFont="1" applyBorder="1" applyAlignment="1">
      <alignment horizontal="center" wrapText="1"/>
    </xf>
    <xf numFmtId="0" fontId="53" fillId="0" borderId="30" xfId="0" applyFont="1" applyBorder="1" applyAlignment="1">
      <alignment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59" fillId="0" borderId="0" xfId="0" applyFont="1" applyAlignment="1" applyProtection="1">
      <alignment horizontal="right"/>
      <protection locked="0"/>
    </xf>
    <xf numFmtId="43" fontId="59" fillId="0" borderId="0" xfId="0" applyNumberFormat="1" applyFont="1"/>
    <xf numFmtId="43" fontId="61" fillId="0" borderId="0" xfId="0" applyNumberFormat="1" applyFont="1"/>
    <xf numFmtId="0" fontId="2" fillId="0" borderId="30" xfId="0" applyFont="1" applyBorder="1" applyAlignment="1" applyProtection="1">
      <alignment horizontal="center" vertical="top" wrapText="1"/>
      <protection locked="0"/>
    </xf>
    <xf numFmtId="49" fontId="0" fillId="0" borderId="0" xfId="0" applyNumberFormat="1"/>
    <xf numFmtId="49" fontId="57" fillId="0" borderId="0" xfId="0" applyNumberFormat="1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vertical="center"/>
      <protection locked="0"/>
    </xf>
    <xf numFmtId="49" fontId="51" fillId="0" borderId="0" xfId="0" applyNumberFormat="1" applyFont="1" applyAlignment="1" applyProtection="1">
      <alignment vertical="center"/>
      <protection locked="0"/>
    </xf>
    <xf numFmtId="49" fontId="16" fillId="9" borderId="2" xfId="0" applyNumberFormat="1" applyFont="1" applyFill="1" applyBorder="1" applyAlignment="1">
      <alignment horizontal="center" vertical="center"/>
    </xf>
    <xf numFmtId="49" fontId="53" fillId="8" borderId="2" xfId="0" applyNumberFormat="1" applyFont="1" applyFill="1" applyBorder="1" applyAlignment="1" applyProtection="1">
      <alignment horizontal="center" vertical="top" wrapText="1"/>
      <protection locked="0"/>
    </xf>
    <xf numFmtId="49" fontId="53" fillId="8" borderId="2" xfId="0" applyNumberFormat="1" applyFont="1" applyFill="1" applyBorder="1" applyAlignment="1" applyProtection="1">
      <alignment horizontal="left" vertical="top" wrapText="1"/>
      <protection locked="0"/>
    </xf>
    <xf numFmtId="49" fontId="2" fillId="0" borderId="2" xfId="0" applyNumberFormat="1" applyFont="1" applyBorder="1" applyAlignment="1" applyProtection="1">
      <alignment horizontal="center" vertical="top" wrapText="1"/>
      <protection locked="0"/>
    </xf>
    <xf numFmtId="49" fontId="88" fillId="7" borderId="36" xfId="0" applyNumberFormat="1" applyFont="1" applyFill="1" applyBorder="1" applyAlignment="1" applyProtection="1">
      <alignment horizontal="center" vertical="top"/>
      <protection locked="0"/>
    </xf>
    <xf numFmtId="49" fontId="32" fillId="6" borderId="9" xfId="0" applyNumberFormat="1" applyFont="1" applyFill="1" applyBorder="1" applyAlignment="1" applyProtection="1">
      <alignment horizontal="center" vertical="top"/>
      <protection locked="0"/>
    </xf>
    <xf numFmtId="49" fontId="32" fillId="6" borderId="40" xfId="0" applyNumberFormat="1" applyFont="1" applyFill="1" applyBorder="1" applyAlignment="1" applyProtection="1">
      <alignment horizontal="center" vertical="top"/>
      <protection locked="0"/>
    </xf>
    <xf numFmtId="49" fontId="32" fillId="6" borderId="21" xfId="0" applyNumberFormat="1" applyFont="1" applyFill="1" applyBorder="1" applyAlignment="1" applyProtection="1">
      <alignment horizontal="center" vertical="top"/>
      <protection locked="0"/>
    </xf>
    <xf numFmtId="49" fontId="32" fillId="6" borderId="10" xfId="0" applyNumberFormat="1" applyFont="1" applyFill="1" applyBorder="1" applyAlignment="1" applyProtection="1">
      <alignment horizontal="center" vertical="top"/>
      <protection locked="0"/>
    </xf>
    <xf numFmtId="49" fontId="32" fillId="6" borderId="12" xfId="0" applyNumberFormat="1" applyFont="1" applyFill="1" applyBorder="1" applyAlignment="1" applyProtection="1">
      <alignment horizontal="center" vertical="top"/>
      <protection locked="0"/>
    </xf>
    <xf numFmtId="49" fontId="32" fillId="6" borderId="38" xfId="0" applyNumberFormat="1" applyFont="1" applyFill="1" applyBorder="1" applyAlignment="1" applyProtection="1">
      <alignment horizontal="center" vertical="top"/>
      <protection locked="0"/>
    </xf>
    <xf numFmtId="49" fontId="32" fillId="6" borderId="13" xfId="0" applyNumberFormat="1" applyFont="1" applyFill="1" applyBorder="1" applyAlignment="1" applyProtection="1">
      <alignment horizontal="center" vertical="top"/>
      <protection locked="0"/>
    </xf>
    <xf numFmtId="49" fontId="32" fillId="7" borderId="24" xfId="9" applyNumberFormat="1" applyFont="1" applyFill="1" applyBorder="1" applyAlignment="1" applyProtection="1">
      <alignment horizontal="center"/>
      <protection locked="0"/>
    </xf>
    <xf numFmtId="49" fontId="0" fillId="0" borderId="44" xfId="0" applyNumberFormat="1" applyBorder="1"/>
    <xf numFmtId="49" fontId="1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Alignment="1">
      <alignment horizontal="left"/>
    </xf>
    <xf numFmtId="49" fontId="23" fillId="0" borderId="0" xfId="9" applyNumberFormat="1" applyFont="1" applyAlignment="1">
      <alignment horizontal="left" indent="3"/>
    </xf>
    <xf numFmtId="49" fontId="16" fillId="0" borderId="0" xfId="0" applyNumberFormat="1" applyFont="1" applyAlignment="1">
      <alignment horizontal="left" indent="2"/>
    </xf>
    <xf numFmtId="0" fontId="2" fillId="0" borderId="0" xfId="0" applyFont="1" applyAlignment="1" applyProtection="1">
      <alignment horizontal="center" vertical="top" wrapText="1"/>
      <protection locked="0"/>
    </xf>
    <xf numFmtId="43" fontId="4" fillId="0" borderId="0" xfId="0" applyNumberFormat="1" applyFont="1"/>
    <xf numFmtId="0" fontId="4" fillId="0" borderId="0" xfId="0" applyFont="1" applyAlignment="1" applyProtection="1">
      <alignment horizontal="right"/>
      <protection locked="0"/>
    </xf>
    <xf numFmtId="43" fontId="2" fillId="0" borderId="0" xfId="0" applyNumberFormat="1" applyFont="1"/>
    <xf numFmtId="0" fontId="4" fillId="0" borderId="2" xfId="0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 wrapText="1"/>
    </xf>
    <xf numFmtId="43" fontId="63" fillId="8" borderId="0" xfId="3" applyFont="1" applyFill="1" applyBorder="1" applyAlignment="1" applyProtection="1">
      <alignment horizontal="center" vertical="center"/>
    </xf>
    <xf numFmtId="164" fontId="63" fillId="0" borderId="0" xfId="0" applyNumberFormat="1" applyFont="1" applyAlignment="1">
      <alignment horizontal="center" vertical="center"/>
    </xf>
    <xf numFmtId="166" fontId="15" fillId="0" borderId="0" xfId="0" applyNumberFormat="1" applyFont="1" applyAlignment="1" applyProtection="1">
      <alignment vertical="top" wrapText="1"/>
      <protection locked="0"/>
    </xf>
    <xf numFmtId="0" fontId="63" fillId="0" borderId="0" xfId="0" applyFont="1" applyAlignment="1">
      <alignment wrapText="1"/>
    </xf>
    <xf numFmtId="1" fontId="4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43" fontId="4" fillId="0" borderId="2" xfId="3" applyFont="1" applyFill="1" applyBorder="1" applyAlignment="1" applyProtection="1">
      <alignment horizontal="center" vertical="center"/>
      <protection locked="0"/>
    </xf>
    <xf numFmtId="43" fontId="4" fillId="0" borderId="0" xfId="3" applyFont="1" applyFill="1" applyBorder="1" applyAlignment="1" applyProtection="1">
      <alignment horizontal="center" vertical="center"/>
      <protection locked="0"/>
    </xf>
    <xf numFmtId="166" fontId="102" fillId="0" borderId="0" xfId="0" applyNumberFormat="1" applyFont="1"/>
    <xf numFmtId="166" fontId="24" fillId="0" borderId="0" xfId="0" applyNumberFormat="1" applyFont="1"/>
    <xf numFmtId="0" fontId="34" fillId="0" borderId="0" xfId="0" applyFont="1" applyAlignment="1">
      <alignment horizontal="left" indent="5"/>
    </xf>
    <xf numFmtId="166" fontId="0" fillId="3" borderId="2" xfId="0" applyNumberFormat="1" applyFill="1" applyBorder="1" applyAlignment="1">
      <alignment vertical="top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69" fillId="3" borderId="2" xfId="0" applyFont="1" applyFill="1" applyBorder="1" applyAlignment="1" applyProtection="1">
      <alignment horizontal="center" vertical="top" wrapText="1"/>
      <protection locked="0"/>
    </xf>
    <xf numFmtId="49" fontId="53" fillId="3" borderId="2" xfId="0" applyNumberFormat="1" applyFont="1" applyFill="1" applyBorder="1" applyAlignment="1" applyProtection="1">
      <alignment horizontal="left" vertical="top" wrapText="1"/>
      <protection locked="0"/>
    </xf>
    <xf numFmtId="1" fontId="53" fillId="3" borderId="2" xfId="0" applyNumberFormat="1" applyFont="1" applyFill="1" applyBorder="1" applyAlignment="1" applyProtection="1">
      <alignment horizontal="center" vertical="top"/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43" fontId="53" fillId="3" borderId="2" xfId="0" applyNumberFormat="1" applyFont="1" applyFill="1" applyBorder="1" applyAlignment="1">
      <alignment horizontal="center" vertical="top" wrapText="1"/>
    </xf>
    <xf numFmtId="43" fontId="2" fillId="3" borderId="2" xfId="0" applyNumberFormat="1" applyFont="1" applyFill="1" applyBorder="1" applyAlignment="1">
      <alignment horizontal="center" vertical="top"/>
    </xf>
    <xf numFmtId="1" fontId="2" fillId="3" borderId="2" xfId="3" applyNumberFormat="1" applyFont="1" applyFill="1" applyBorder="1" applyAlignment="1" applyProtection="1">
      <alignment horizontal="center" vertical="top"/>
    </xf>
    <xf numFmtId="41" fontId="2" fillId="3" borderId="2" xfId="3" applyNumberFormat="1" applyFont="1" applyFill="1" applyBorder="1" applyAlignment="1" applyProtection="1">
      <alignment horizontal="center" vertical="top"/>
    </xf>
    <xf numFmtId="0" fontId="53" fillId="3" borderId="2" xfId="0" applyFont="1" applyFill="1" applyBorder="1" applyAlignment="1">
      <alignment vertical="top"/>
    </xf>
    <xf numFmtId="43" fontId="2" fillId="3" borderId="2" xfId="1" applyFont="1" applyFill="1" applyBorder="1" applyAlignment="1" applyProtection="1">
      <alignment vertical="top"/>
    </xf>
    <xf numFmtId="43" fontId="2" fillId="3" borderId="2" xfId="0" applyNumberFormat="1" applyFont="1" applyFill="1" applyBorder="1" applyAlignment="1">
      <alignment vertical="top"/>
    </xf>
    <xf numFmtId="0" fontId="53" fillId="3" borderId="2" xfId="0" applyFont="1" applyFill="1" applyBorder="1" applyAlignment="1" applyProtection="1">
      <alignment horizontal="center" vertical="top" wrapText="1"/>
      <protection locked="0"/>
    </xf>
    <xf numFmtId="43" fontId="4" fillId="8" borderId="4" xfId="3" applyFont="1" applyFill="1" applyBorder="1" applyAlignment="1" applyProtection="1">
      <alignment horizontal="center" vertical="center" wrapText="1"/>
      <protection locked="0"/>
    </xf>
    <xf numFmtId="0" fontId="4" fillId="0" borderId="4" xfId="9" applyBorder="1" applyAlignment="1" applyProtection="1">
      <alignment horizontal="center" vertical="center"/>
      <protection locked="0"/>
    </xf>
    <xf numFmtId="0" fontId="4" fillId="8" borderId="2" xfId="9" applyFill="1" applyBorder="1" applyAlignment="1" applyProtection="1">
      <alignment horizontal="center" vertical="center" wrapText="1"/>
      <protection locked="0"/>
    </xf>
    <xf numFmtId="0" fontId="4" fillId="8" borderId="2" xfId="9" applyFill="1" applyBorder="1" applyAlignment="1" applyProtection="1">
      <alignment horizontal="center" vertical="center"/>
      <protection locked="0"/>
    </xf>
    <xf numFmtId="43" fontId="4" fillId="8" borderId="2" xfId="3" applyFont="1" applyFill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top" wrapText="1"/>
      <protection locked="0"/>
    </xf>
    <xf numFmtId="1" fontId="2" fillId="8" borderId="4" xfId="3" applyNumberFormat="1" applyFont="1" applyFill="1" applyBorder="1" applyAlignment="1" applyProtection="1">
      <alignment horizontal="center" vertical="top"/>
    </xf>
    <xf numFmtId="41" fontId="2" fillId="8" borderId="4" xfId="3" applyNumberFormat="1" applyFont="1" applyFill="1" applyBorder="1" applyAlignment="1" applyProtection="1">
      <alignment horizontal="center" vertical="top"/>
    </xf>
    <xf numFmtId="0" fontId="53" fillId="0" borderId="4" xfId="0" applyFont="1" applyBorder="1" applyAlignment="1">
      <alignment vertical="top"/>
    </xf>
    <xf numFmtId="43" fontId="2" fillId="8" borderId="4" xfId="1" applyFont="1" applyFill="1" applyBorder="1" applyAlignment="1" applyProtection="1">
      <alignment vertical="top"/>
    </xf>
    <xf numFmtId="43" fontId="2" fillId="8" borderId="4" xfId="0" applyNumberFormat="1" applyFont="1" applyFill="1" applyBorder="1" applyAlignment="1">
      <alignment vertical="top"/>
    </xf>
    <xf numFmtId="166" fontId="0" fillId="0" borderId="2" xfId="0" applyNumberFormat="1" applyBorder="1"/>
    <xf numFmtId="166" fontId="15" fillId="0" borderId="2" xfId="0" applyNumberFormat="1" applyFont="1" applyBorder="1" applyAlignment="1" applyProtection="1">
      <alignment vertical="top"/>
      <protection locked="0"/>
    </xf>
    <xf numFmtId="1" fontId="4" fillId="0" borderId="2" xfId="0" applyNumberFormat="1" applyFont="1" applyBorder="1" applyAlignment="1" applyProtection="1">
      <alignment horizontal="center"/>
      <protection locked="0"/>
    </xf>
    <xf numFmtId="43" fontId="4" fillId="0" borderId="2" xfId="0" applyNumberFormat="1" applyFont="1" applyBorder="1"/>
    <xf numFmtId="43" fontId="2" fillId="0" borderId="2" xfId="0" applyNumberFormat="1" applyFont="1" applyBorder="1"/>
    <xf numFmtId="0" fontId="63" fillId="0" borderId="2" xfId="0" applyFont="1" applyBorder="1"/>
    <xf numFmtId="166" fontId="15" fillId="0" borderId="2" xfId="0" applyNumberFormat="1" applyFont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horizontal="right" wrapText="1"/>
      <protection locked="0"/>
    </xf>
    <xf numFmtId="0" fontId="4" fillId="0" borderId="2" xfId="0" applyFont="1" applyBorder="1" applyAlignment="1" applyProtection="1">
      <alignment horizontal="right"/>
      <protection locked="0"/>
    </xf>
    <xf numFmtId="1" fontId="4" fillId="0" borderId="2" xfId="0" applyNumberFormat="1" applyFont="1" applyBorder="1" applyAlignment="1" applyProtection="1">
      <alignment horizontal="center" wrapText="1"/>
      <protection locked="0"/>
    </xf>
    <xf numFmtId="166" fontId="15" fillId="0" borderId="2" xfId="0" applyNumberFormat="1" applyFont="1" applyBorder="1" applyAlignment="1" applyProtection="1">
      <alignment horizontal="center" vertical="top"/>
      <protection locked="0"/>
    </xf>
    <xf numFmtId="1" fontId="2" fillId="0" borderId="2" xfId="0" applyNumberFormat="1" applyFont="1" applyBorder="1"/>
    <xf numFmtId="1" fontId="4" fillId="0" borderId="2" xfId="0" applyNumberFormat="1" applyFont="1" applyBorder="1"/>
    <xf numFmtId="164" fontId="2" fillId="0" borderId="2" xfId="0" applyNumberFormat="1" applyFont="1" applyBorder="1"/>
    <xf numFmtId="0" fontId="63" fillId="0" borderId="2" xfId="0" applyFont="1" applyBorder="1" applyAlignment="1">
      <alignment wrapText="1"/>
    </xf>
    <xf numFmtId="0" fontId="63" fillId="0" borderId="2" xfId="0" applyFont="1" applyBorder="1" applyAlignment="1">
      <alignment horizontal="center" vertical="center"/>
    </xf>
    <xf numFmtId="0" fontId="16" fillId="8" borderId="2" xfId="0" applyFont="1" applyFill="1" applyBorder="1" applyAlignment="1" applyProtection="1">
      <alignment horizontal="center" vertical="center" wrapText="1"/>
      <protection locked="0"/>
    </xf>
    <xf numFmtId="15" fontId="4" fillId="8" borderId="2" xfId="9" applyNumberFormat="1" applyFill="1" applyBorder="1" applyAlignment="1" applyProtection="1">
      <alignment horizontal="center" vertical="center" wrapText="1"/>
      <protection locked="0"/>
    </xf>
    <xf numFmtId="0" fontId="92" fillId="0" borderId="0" xfId="0" applyFont="1" applyAlignment="1">
      <alignment horizontal="left" indent="10"/>
    </xf>
    <xf numFmtId="0" fontId="2" fillId="14" borderId="2" xfId="0" applyFont="1" applyFill="1" applyBorder="1" applyAlignment="1" applyProtection="1">
      <alignment horizontal="center" vertical="top" wrapText="1"/>
      <protection locked="0"/>
    </xf>
    <xf numFmtId="0" fontId="1" fillId="14" borderId="2" xfId="0" applyFont="1" applyFill="1" applyBorder="1" applyAlignment="1" applyProtection="1">
      <alignment horizontal="center" vertical="top" wrapText="1"/>
      <protection locked="0"/>
    </xf>
    <xf numFmtId="0" fontId="53" fillId="14" borderId="2" xfId="0" applyFont="1" applyFill="1" applyBorder="1" applyAlignment="1" applyProtection="1">
      <alignment horizontal="center" vertical="top" wrapText="1"/>
      <protection locked="0"/>
    </xf>
    <xf numFmtId="0" fontId="57" fillId="0" borderId="0" xfId="0" applyFont="1" applyAlignment="1" applyProtection="1">
      <alignment horizontal="left" vertical="center" indent="3"/>
      <protection locked="0"/>
    </xf>
    <xf numFmtId="0" fontId="49" fillId="0" borderId="0" xfId="9" applyFont="1" applyAlignment="1" applyProtection="1">
      <alignment horizontal="left" indent="6"/>
      <protection locked="0"/>
    </xf>
    <xf numFmtId="166" fontId="15" fillId="0" borderId="4" xfId="0" applyNumberFormat="1" applyFont="1" applyBorder="1" applyAlignment="1" applyProtection="1">
      <alignment vertical="top" wrapText="1"/>
      <protection locked="0"/>
    </xf>
    <xf numFmtId="166" fontId="15" fillId="0" borderId="4" xfId="0" applyNumberFormat="1" applyFont="1" applyBorder="1" applyAlignment="1" applyProtection="1">
      <alignment vertical="top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53" fillId="0" borderId="4" xfId="0" applyFont="1" applyBorder="1" applyAlignment="1" applyProtection="1">
      <alignment horizontal="center" vertical="top" wrapText="1"/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right" wrapText="1"/>
      <protection locked="0"/>
    </xf>
    <xf numFmtId="43" fontId="4" fillId="0" borderId="4" xfId="0" applyNumberFormat="1" applyFont="1" applyBorder="1"/>
    <xf numFmtId="43" fontId="2" fillId="0" borderId="4" xfId="0" applyNumberFormat="1" applyFont="1" applyBorder="1"/>
    <xf numFmtId="1" fontId="2" fillId="0" borderId="4" xfId="0" applyNumberFormat="1" applyFont="1" applyBorder="1"/>
    <xf numFmtId="1" fontId="4" fillId="0" borderId="4" xfId="0" applyNumberFormat="1" applyFont="1" applyBorder="1"/>
    <xf numFmtId="164" fontId="2" fillId="0" borderId="4" xfId="0" applyNumberFormat="1" applyFont="1" applyBorder="1"/>
    <xf numFmtId="0" fontId="63" fillId="0" borderId="4" xfId="0" applyFont="1" applyBorder="1" applyAlignment="1">
      <alignment wrapText="1"/>
    </xf>
    <xf numFmtId="166" fontId="103" fillId="0" borderId="0" xfId="0" applyNumberFormat="1" applyFont="1"/>
    <xf numFmtId="15" fontId="4" fillId="8" borderId="2" xfId="0" applyNumberFormat="1" applyFont="1" applyFill="1" applyBorder="1" applyAlignment="1" applyProtection="1">
      <alignment vertical="top"/>
      <protection locked="0"/>
    </xf>
    <xf numFmtId="15" fontId="4" fillId="8" borderId="2" xfId="10" applyNumberFormat="1" applyFont="1" applyFill="1" applyBorder="1" applyAlignment="1" applyProtection="1">
      <alignment horizontal="center" vertical="top"/>
      <protection locked="0"/>
    </xf>
    <xf numFmtId="166" fontId="4" fillId="8" borderId="2" xfId="0" applyNumberFormat="1" applyFont="1" applyFill="1" applyBorder="1" applyAlignment="1" applyProtection="1">
      <alignment horizontal="center" vertical="top"/>
      <protection locked="0"/>
    </xf>
    <xf numFmtId="166" fontId="4" fillId="0" borderId="2" xfId="0" applyNumberFormat="1" applyFont="1" applyBorder="1" applyAlignment="1" applyProtection="1">
      <alignment horizontal="center" vertical="top"/>
      <protection locked="0"/>
    </xf>
    <xf numFmtId="166" fontId="4" fillId="3" borderId="2" xfId="0" applyNumberFormat="1" applyFont="1" applyFill="1" applyBorder="1" applyAlignment="1" applyProtection="1">
      <alignment horizontal="center" vertical="top"/>
      <protection locked="0"/>
    </xf>
    <xf numFmtId="166" fontId="103" fillId="0" borderId="2" xfId="0" applyNumberFormat="1" applyFont="1" applyBorder="1"/>
    <xf numFmtId="166" fontId="103" fillId="0" borderId="4" xfId="0" applyNumberFormat="1" applyFont="1" applyBorder="1"/>
    <xf numFmtId="166" fontId="4" fillId="0" borderId="0" xfId="0" applyNumberFormat="1" applyFont="1" applyAlignment="1" applyProtection="1">
      <alignment horizontal="center" vertical="top"/>
      <protection locked="0"/>
    </xf>
    <xf numFmtId="166" fontId="34" fillId="0" borderId="0" xfId="0" applyNumberFormat="1" applyFont="1"/>
    <xf numFmtId="166" fontId="16" fillId="0" borderId="0" xfId="0" applyNumberFormat="1" applyFont="1" applyAlignment="1">
      <alignment horizontal="left" indent="8"/>
    </xf>
    <xf numFmtId="166" fontId="34" fillId="0" borderId="0" xfId="9" applyNumberFormat="1" applyFont="1"/>
    <xf numFmtId="166" fontId="101" fillId="0" borderId="0" xfId="0" applyNumberFormat="1" applyFont="1"/>
    <xf numFmtId="166" fontId="16" fillId="0" borderId="0" xfId="0" applyNumberFormat="1" applyFont="1" applyAlignment="1">
      <alignment horizontal="left" indent="4"/>
    </xf>
    <xf numFmtId="0" fontId="100" fillId="0" borderId="0" xfId="0" applyFont="1" applyAlignment="1" applyProtection="1">
      <alignment horizontal="right"/>
      <protection locked="0"/>
    </xf>
    <xf numFmtId="43" fontId="63" fillId="0" borderId="2" xfId="3" applyFont="1" applyFill="1" applyBorder="1" applyAlignment="1" applyProtection="1">
      <alignment horizontal="center" vertical="center"/>
    </xf>
    <xf numFmtId="43" fontId="63" fillId="0" borderId="4" xfId="3" applyFont="1" applyFill="1" applyBorder="1" applyAlignment="1" applyProtection="1">
      <alignment horizontal="center" vertical="center"/>
    </xf>
    <xf numFmtId="0" fontId="63" fillId="0" borderId="0" xfId="0" applyFont="1" applyAlignment="1">
      <alignment horizontal="center" vertical="center"/>
    </xf>
    <xf numFmtId="43" fontId="63" fillId="0" borderId="0" xfId="3" applyFont="1" applyFill="1" applyBorder="1" applyAlignment="1" applyProtection="1">
      <alignment horizontal="center" vertical="center"/>
    </xf>
    <xf numFmtId="0" fontId="81" fillId="0" borderId="0" xfId="0" applyFont="1" applyAlignment="1">
      <alignment wrapText="1"/>
    </xf>
    <xf numFmtId="43" fontId="78" fillId="0" borderId="0" xfId="3" applyFont="1" applyFill="1" applyBorder="1" applyAlignment="1" applyProtection="1">
      <alignment horizontal="center" vertical="center"/>
    </xf>
    <xf numFmtId="43" fontId="77" fillId="0" borderId="0" xfId="0" applyNumberFormat="1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23" fillId="0" borderId="0" xfId="0" applyFont="1" applyAlignment="1">
      <alignment horizontal="left" vertical="center"/>
    </xf>
    <xf numFmtId="43" fontId="32" fillId="6" borderId="13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left" indent="32"/>
    </xf>
    <xf numFmtId="0" fontId="0" fillId="0" borderId="1" xfId="0" applyBorder="1"/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indent="1"/>
    </xf>
    <xf numFmtId="0" fontId="46" fillId="0" borderId="0" xfId="0" applyFont="1" applyAlignment="1">
      <alignment horizontal="left" wrapText="1"/>
    </xf>
    <xf numFmtId="166" fontId="34" fillId="0" borderId="0" xfId="9" applyNumberFormat="1" applyFont="1" applyAlignment="1">
      <alignment horizontal="left" indent="2"/>
    </xf>
    <xf numFmtId="0" fontId="34" fillId="0" borderId="0" xfId="9" applyFont="1" applyAlignment="1">
      <alignment horizontal="left" indent="3"/>
    </xf>
    <xf numFmtId="0" fontId="34" fillId="0" borderId="0" xfId="9" applyFont="1" applyAlignment="1">
      <alignment horizontal="left" vertical="center" indent="3"/>
    </xf>
    <xf numFmtId="0" fontId="42" fillId="0" borderId="0" xfId="0" applyFont="1" applyAlignment="1">
      <alignment horizontal="left" wrapText="1"/>
    </xf>
    <xf numFmtId="0" fontId="17" fillId="0" borderId="0" xfId="9" applyFont="1" applyAlignment="1">
      <alignment horizontal="left" vertical="center" indent="1"/>
    </xf>
    <xf numFmtId="0" fontId="17" fillId="0" borderId="0" xfId="9" applyFont="1" applyAlignment="1">
      <alignment horizontal="left" indent="3"/>
    </xf>
    <xf numFmtId="0" fontId="0" fillId="0" borderId="30" xfId="0" applyBorder="1" applyAlignment="1">
      <alignment horizontal="center" vertical="center" wrapText="1"/>
    </xf>
    <xf numFmtId="0" fontId="104" fillId="0" borderId="0" xfId="0" applyFont="1" applyProtection="1">
      <protection locked="0"/>
    </xf>
    <xf numFmtId="0" fontId="53" fillId="8" borderId="30" xfId="0" applyFont="1" applyFill="1" applyBorder="1" applyAlignment="1" applyProtection="1">
      <alignment horizontal="center" vertical="top" wrapText="1"/>
      <protection locked="0"/>
    </xf>
    <xf numFmtId="1" fontId="4" fillId="0" borderId="0" xfId="0" applyNumberFormat="1" applyFont="1" applyAlignment="1" applyProtection="1">
      <alignment horizontal="center"/>
      <protection locked="0"/>
    </xf>
    <xf numFmtId="0" fontId="91" fillId="0" borderId="2" xfId="0" applyFont="1" applyBorder="1" applyAlignment="1">
      <alignment vertical="center" wrapText="1"/>
    </xf>
    <xf numFmtId="0" fontId="53" fillId="0" borderId="0" xfId="0" applyFont="1" applyAlignment="1">
      <alignment wrapText="1"/>
    </xf>
    <xf numFmtId="0" fontId="53" fillId="8" borderId="49" xfId="0" applyFont="1" applyFill="1" applyBorder="1" applyAlignment="1" applyProtection="1">
      <alignment horizontal="center" vertical="top" wrapText="1"/>
      <protection locked="0"/>
    </xf>
    <xf numFmtId="49" fontId="32" fillId="7" borderId="24" xfId="9" applyNumberFormat="1" applyFont="1" applyFill="1" applyBorder="1" applyAlignment="1" applyProtection="1">
      <alignment horizontal="left" indent="1"/>
      <protection locked="0"/>
    </xf>
    <xf numFmtId="0" fontId="53" fillId="0" borderId="4" xfId="0" applyFont="1" applyBorder="1" applyAlignment="1">
      <alignment horizontal="center" vertical="center" wrapText="1"/>
    </xf>
    <xf numFmtId="15" fontId="105" fillId="8" borderId="2" xfId="0" applyNumberFormat="1" applyFont="1" applyFill="1" applyBorder="1" applyAlignment="1" applyProtection="1">
      <alignment horizontal="center" vertical="top"/>
      <protection locked="0"/>
    </xf>
    <xf numFmtId="43" fontId="105" fillId="8" borderId="2" xfId="7" applyFont="1" applyFill="1" applyBorder="1" applyAlignment="1" applyProtection="1">
      <alignment horizontal="center" wrapText="1"/>
      <protection locked="0"/>
    </xf>
    <xf numFmtId="0" fontId="105" fillId="8" borderId="2" xfId="0" applyFont="1" applyFill="1" applyBorder="1" applyAlignment="1" applyProtection="1">
      <alignment horizontal="center" vertical="top" wrapText="1"/>
      <protection locked="0"/>
    </xf>
    <xf numFmtId="43" fontId="105" fillId="8" borderId="2" xfId="7" applyFont="1" applyFill="1" applyBorder="1" applyAlignment="1" applyProtection="1">
      <alignment wrapText="1"/>
      <protection locked="0"/>
    </xf>
    <xf numFmtId="43" fontId="107" fillId="8" borderId="2" xfId="8" applyFont="1" applyFill="1" applyBorder="1" applyAlignment="1" applyProtection="1">
      <alignment horizontal="center" vertical="top" wrapText="1"/>
    </xf>
    <xf numFmtId="43" fontId="108" fillId="8" borderId="2" xfId="7" applyFont="1" applyFill="1" applyBorder="1" applyAlignment="1" applyProtection="1">
      <alignment vertical="top" wrapText="1"/>
      <protection locked="0"/>
    </xf>
    <xf numFmtId="43" fontId="105" fillId="8" borderId="2" xfId="8" applyFont="1" applyFill="1" applyBorder="1" applyAlignment="1" applyProtection="1">
      <alignment vertical="top"/>
      <protection locked="0"/>
    </xf>
    <xf numFmtId="43" fontId="105" fillId="8" borderId="2" xfId="0" applyNumberFormat="1" applyFont="1" applyFill="1" applyBorder="1" applyAlignment="1" applyProtection="1">
      <alignment wrapText="1"/>
      <protection locked="0"/>
    </xf>
    <xf numFmtId="43" fontId="107" fillId="8" borderId="2" xfId="7" applyFont="1" applyFill="1" applyBorder="1" applyAlignment="1" applyProtection="1">
      <alignment vertical="top"/>
    </xf>
    <xf numFmtId="0" fontId="104" fillId="0" borderId="0" xfId="0" applyFont="1" applyAlignment="1" applyProtection="1">
      <alignment horizontal="center"/>
      <protection locked="0"/>
    </xf>
    <xf numFmtId="43" fontId="0" fillId="0" borderId="2" xfId="0" applyNumberFormat="1" applyBorder="1" applyAlignment="1">
      <alignment vertical="center"/>
    </xf>
    <xf numFmtId="43" fontId="4" fillId="0" borderId="35" xfId="0" applyNumberFormat="1" applyFont="1" applyBorder="1"/>
    <xf numFmtId="0" fontId="63" fillId="0" borderId="30" xfId="0" applyFont="1" applyBorder="1" applyAlignment="1">
      <alignment wrapText="1"/>
    </xf>
    <xf numFmtId="0" fontId="63" fillId="0" borderId="35" xfId="0" applyFont="1" applyBorder="1" applyAlignment="1">
      <alignment wrapText="1"/>
    </xf>
    <xf numFmtId="0" fontId="5" fillId="8" borderId="0" xfId="9" applyFont="1" applyFill="1" applyAlignment="1" applyProtection="1">
      <alignment horizontal="left"/>
      <protection locked="0"/>
    </xf>
    <xf numFmtId="0" fontId="8" fillId="8" borderId="0" xfId="9" applyFont="1" applyFill="1" applyAlignment="1" applyProtection="1">
      <alignment horizontal="left"/>
      <protection locked="0"/>
    </xf>
    <xf numFmtId="0" fontId="10" fillId="8" borderId="0" xfId="9" applyFont="1" applyFill="1" applyAlignment="1" applyProtection="1">
      <alignment horizontal="left" vertical="center"/>
      <protection locked="0"/>
    </xf>
    <xf numFmtId="0" fontId="10" fillId="8" borderId="1" xfId="9" applyFont="1" applyFill="1" applyBorder="1" applyAlignment="1" applyProtection="1">
      <alignment horizontal="left" vertical="center"/>
      <protection locked="0"/>
    </xf>
    <xf numFmtId="49" fontId="14" fillId="8" borderId="2" xfId="3" applyNumberFormat="1" applyFont="1" applyFill="1" applyBorder="1" applyAlignment="1" applyProtection="1">
      <alignment horizontal="center" vertical="center" wrapText="1"/>
    </xf>
    <xf numFmtId="15" fontId="4" fillId="8" borderId="2" xfId="0" quotePrefix="1" applyNumberFormat="1" applyFont="1" applyFill="1" applyBorder="1" applyAlignment="1" applyProtection="1">
      <alignment horizontal="center" vertical="center"/>
      <protection locked="0"/>
    </xf>
    <xf numFmtId="49" fontId="4" fillId="8" borderId="2" xfId="3" applyNumberFormat="1" applyFont="1" applyFill="1" applyBorder="1" applyAlignment="1" applyProtection="1">
      <alignment horizontal="center" vertical="center" wrapText="1"/>
      <protection locked="0"/>
    </xf>
    <xf numFmtId="11" fontId="4" fillId="8" borderId="2" xfId="3" applyNumberFormat="1" applyFont="1" applyFill="1" applyBorder="1" applyAlignment="1" applyProtection="1">
      <alignment horizontal="center" vertical="center" wrapText="1"/>
      <protection locked="0"/>
    </xf>
    <xf numFmtId="1" fontId="4" fillId="8" borderId="2" xfId="3" applyNumberFormat="1" applyFont="1" applyFill="1" applyBorder="1" applyAlignment="1" applyProtection="1">
      <alignment horizontal="center" vertical="center" wrapText="1"/>
      <protection locked="0"/>
    </xf>
    <xf numFmtId="41" fontId="4" fillId="8" borderId="2" xfId="3" applyNumberFormat="1" applyFont="1" applyFill="1" applyBorder="1" applyAlignment="1" applyProtection="1">
      <alignment horizontal="center" vertical="center" wrapText="1"/>
      <protection locked="0"/>
    </xf>
    <xf numFmtId="0" fontId="1" fillId="8" borderId="0" xfId="9" applyFont="1" applyFill="1" applyAlignment="1" applyProtection="1">
      <alignment horizontal="center" vertical="top" wrapText="1"/>
      <protection locked="0"/>
    </xf>
    <xf numFmtId="0" fontId="1" fillId="8" borderId="0" xfId="9" applyFont="1" applyFill="1" applyAlignment="1" applyProtection="1">
      <alignment horizontal="center" vertical="top"/>
      <protection locked="0"/>
    </xf>
    <xf numFmtId="49" fontId="32" fillId="8" borderId="24" xfId="9" applyNumberFormat="1" applyFont="1" applyFill="1" applyBorder="1" applyAlignment="1" applyProtection="1">
      <alignment horizontal="left" indent="1"/>
      <protection locked="0"/>
    </xf>
    <xf numFmtId="0" fontId="18" fillId="8" borderId="9" xfId="0" applyFont="1" applyFill="1" applyBorder="1" applyAlignment="1" applyProtection="1">
      <alignment horizontal="center" vertical="top"/>
      <protection locked="0"/>
    </xf>
    <xf numFmtId="0" fontId="18" fillId="8" borderId="10" xfId="0" applyFont="1" applyFill="1" applyBorder="1" applyAlignment="1" applyProtection="1">
      <alignment horizontal="center" vertical="top"/>
      <protection locked="0"/>
    </xf>
    <xf numFmtId="0" fontId="18" fillId="8" borderId="13" xfId="0" applyFont="1" applyFill="1" applyBorder="1" applyAlignment="1" applyProtection="1">
      <alignment horizontal="center" vertical="top"/>
      <protection locked="0"/>
    </xf>
    <xf numFmtId="0" fontId="18" fillId="8" borderId="33" xfId="0" applyFont="1" applyFill="1" applyBorder="1" applyAlignment="1" applyProtection="1">
      <alignment horizontal="center" vertical="top"/>
      <protection locked="0"/>
    </xf>
    <xf numFmtId="0" fontId="18" fillId="8" borderId="2" xfId="0" applyFont="1" applyFill="1" applyBorder="1" applyAlignment="1" applyProtection="1">
      <alignment horizontal="center" vertical="top"/>
      <protection locked="0"/>
    </xf>
    <xf numFmtId="0" fontId="19" fillId="8" borderId="7" xfId="9" applyFont="1" applyFill="1" applyBorder="1" applyAlignment="1" applyProtection="1">
      <alignment horizontal="center"/>
      <protection locked="0"/>
    </xf>
    <xf numFmtId="0" fontId="20" fillId="8" borderId="0" xfId="9" applyFont="1" applyFill="1" applyAlignment="1" applyProtection="1">
      <alignment horizontal="center"/>
      <protection locked="0"/>
    </xf>
    <xf numFmtId="0" fontId="20" fillId="8" borderId="1" xfId="9" applyFont="1" applyFill="1" applyBorder="1" applyAlignment="1" applyProtection="1">
      <alignment horizontal="center"/>
      <protection locked="0"/>
    </xf>
    <xf numFmtId="0" fontId="20" fillId="8" borderId="5" xfId="9" applyFont="1" applyFill="1" applyBorder="1" applyAlignment="1" applyProtection="1">
      <alignment horizontal="center"/>
      <protection locked="0"/>
    </xf>
    <xf numFmtId="0" fontId="16" fillId="8" borderId="0" xfId="0" applyFont="1" applyFill="1" applyAlignment="1">
      <alignment horizontal="center"/>
    </xf>
    <xf numFmtId="0" fontId="1" fillId="8" borderId="0" xfId="9" applyFont="1" applyFill="1" applyAlignment="1">
      <alignment horizontal="center"/>
    </xf>
    <xf numFmtId="49" fontId="18" fillId="7" borderId="24" xfId="9" applyNumberFormat="1" applyFont="1" applyFill="1" applyBorder="1" applyAlignment="1" applyProtection="1">
      <alignment horizontal="left" indent="1"/>
      <protection locked="0"/>
    </xf>
    <xf numFmtId="0" fontId="1" fillId="8" borderId="0" xfId="0" applyFont="1" applyFill="1" applyAlignment="1" applyProtection="1">
      <alignment horizontal="left" vertical="center"/>
      <protection locked="0"/>
    </xf>
    <xf numFmtId="0" fontId="1" fillId="8" borderId="0" xfId="0" applyFont="1" applyFill="1" applyAlignment="1" applyProtection="1">
      <alignment horizontal="left" vertical="center" indent="1"/>
      <protection locked="0"/>
    </xf>
    <xf numFmtId="0" fontId="49" fillId="0" borderId="0" xfId="9" applyFont="1" applyAlignment="1" applyProtection="1">
      <alignment wrapText="1"/>
      <protection locked="0"/>
    </xf>
    <xf numFmtId="0" fontId="50" fillId="0" borderId="0" xfId="9" applyFont="1" applyProtection="1">
      <protection locked="0"/>
    </xf>
    <xf numFmtId="0" fontId="73" fillId="0" borderId="0" xfId="0" applyFont="1" applyAlignment="1">
      <alignment wrapText="1"/>
    </xf>
    <xf numFmtId="0" fontId="111" fillId="0" borderId="0" xfId="9" applyFont="1" applyProtection="1">
      <protection locked="0"/>
    </xf>
    <xf numFmtId="49" fontId="0" fillId="0" borderId="2" xfId="0" applyNumberFormat="1" applyBorder="1" applyAlignment="1">
      <alignment horizontal="center" wrapText="1"/>
    </xf>
    <xf numFmtId="43" fontId="19" fillId="6" borderId="38" xfId="0" applyNumberFormat="1" applyFont="1" applyFill="1" applyBorder="1" applyAlignment="1">
      <alignment horizontal="left" vertical="center"/>
    </xf>
    <xf numFmtId="43" fontId="19" fillId="6" borderId="39" xfId="0" applyNumberFormat="1" applyFont="1" applyFill="1" applyBorder="1"/>
    <xf numFmtId="43" fontId="19" fillId="6" borderId="41" xfId="0" applyNumberFormat="1" applyFont="1" applyFill="1" applyBorder="1" applyAlignment="1">
      <alignment horizontal="left" vertical="center" indent="5"/>
    </xf>
    <xf numFmtId="43" fontId="19" fillId="6" borderId="11" xfId="0" applyNumberFormat="1" applyFont="1" applyFill="1" applyBorder="1"/>
    <xf numFmtId="43" fontId="19" fillId="6" borderId="42" xfId="0" applyNumberFormat="1" applyFont="1" applyFill="1" applyBorder="1" applyAlignment="1">
      <alignment horizontal="left" vertical="center" indent="5"/>
    </xf>
    <xf numFmtId="43" fontId="19" fillId="6" borderId="43" xfId="0" applyNumberFormat="1" applyFont="1" applyFill="1" applyBorder="1" applyAlignment="1">
      <alignment horizontal="left" vertical="center" indent="5"/>
    </xf>
    <xf numFmtId="43" fontId="19" fillId="6" borderId="13" xfId="0" applyNumberFormat="1" applyFont="1" applyFill="1" applyBorder="1" applyAlignment="1">
      <alignment horizontal="left" vertical="center" indent="5"/>
    </xf>
    <xf numFmtId="43" fontId="19" fillId="6" borderId="10" xfId="0" applyNumberFormat="1" applyFont="1" applyFill="1" applyBorder="1"/>
    <xf numFmtId="43" fontId="19" fillId="6" borderId="12" xfId="0" applyNumberFormat="1" applyFont="1" applyFill="1" applyBorder="1" applyAlignment="1">
      <alignment horizontal="left" vertical="center" indent="5"/>
    </xf>
    <xf numFmtId="43" fontId="19" fillId="6" borderId="10" xfId="0" applyNumberFormat="1" applyFont="1" applyFill="1" applyBorder="1" applyAlignment="1">
      <alignment horizontal="left" vertical="center" indent="5"/>
    </xf>
    <xf numFmtId="43" fontId="19" fillId="6" borderId="12" xfId="0" applyNumberFormat="1" applyFont="1" applyFill="1" applyBorder="1"/>
    <xf numFmtId="0" fontId="19" fillId="6" borderId="10" xfId="0" applyFont="1" applyFill="1" applyBorder="1" applyAlignment="1">
      <alignment horizontal="left" vertical="center" indent="19"/>
    </xf>
    <xf numFmtId="0" fontId="19" fillId="6" borderId="10" xfId="0" applyFont="1" applyFill="1" applyBorder="1" applyAlignment="1">
      <alignment horizontal="left" indent="16"/>
    </xf>
    <xf numFmtId="43" fontId="19" fillId="6" borderId="11" xfId="0" applyNumberFormat="1" applyFont="1" applyFill="1" applyBorder="1" applyAlignment="1">
      <alignment horizontal="left" vertical="center" indent="5"/>
    </xf>
    <xf numFmtId="43" fontId="19" fillId="6" borderId="2" xfId="0" applyNumberFormat="1" applyFont="1" applyFill="1" applyBorder="1" applyAlignment="1">
      <alignment horizontal="left" vertical="center" indent="5"/>
    </xf>
    <xf numFmtId="43" fontId="19" fillId="6" borderId="30" xfId="0" applyNumberFormat="1" applyFont="1" applyFill="1" applyBorder="1" applyAlignment="1">
      <alignment horizontal="left" vertical="center" indent="5"/>
    </xf>
    <xf numFmtId="43" fontId="19" fillId="9" borderId="25" xfId="0" applyNumberFormat="1" applyFont="1" applyFill="1" applyBorder="1"/>
    <xf numFmtId="43" fontId="19" fillId="9" borderId="26" xfId="0" applyNumberFormat="1" applyFont="1" applyFill="1" applyBorder="1"/>
    <xf numFmtId="0" fontId="91" fillId="8" borderId="2" xfId="0" applyFont="1" applyFill="1" applyBorder="1" applyAlignment="1">
      <alignment vertical="center" wrapText="1"/>
    </xf>
    <xf numFmtId="43" fontId="54" fillId="0" borderId="20" xfId="3" applyFont="1" applyFill="1" applyBorder="1" applyAlignment="1" applyProtection="1">
      <protection locked="0"/>
    </xf>
    <xf numFmtId="0" fontId="59" fillId="0" borderId="0" xfId="0" applyFont="1" applyAlignment="1" applyProtection="1">
      <alignment horizontal="right"/>
      <protection locked="0"/>
    </xf>
    <xf numFmtId="0" fontId="24" fillId="0" borderId="0" xfId="0" applyFont="1" applyAlignment="1">
      <alignment horizontal="left"/>
    </xf>
    <xf numFmtId="49" fontId="32" fillId="7" borderId="44" xfId="0" applyNumberFormat="1" applyFont="1" applyFill="1" applyBorder="1" applyAlignment="1" applyProtection="1">
      <alignment horizontal="left" vertical="top" indent="22"/>
      <protection locked="0"/>
    </xf>
    <xf numFmtId="0" fontId="32" fillId="7" borderId="44" xfId="0" applyFont="1" applyFill="1" applyBorder="1" applyAlignment="1" applyProtection="1">
      <alignment horizontal="left" vertical="top" indent="22"/>
      <protection locked="0"/>
    </xf>
    <xf numFmtId="0" fontId="32" fillId="7" borderId="46" xfId="0" applyFont="1" applyFill="1" applyBorder="1" applyAlignment="1" applyProtection="1">
      <alignment horizontal="left" vertical="top" indent="22"/>
      <protection locked="0"/>
    </xf>
    <xf numFmtId="49" fontId="16" fillId="0" borderId="0" xfId="0" applyNumberFormat="1" applyFont="1" applyAlignment="1">
      <alignment horizontal="left" indent="28"/>
    </xf>
    <xf numFmtId="0" fontId="16" fillId="0" borderId="0" xfId="0" applyFont="1" applyAlignment="1">
      <alignment horizontal="left" indent="28"/>
    </xf>
    <xf numFmtId="0" fontId="22" fillId="0" borderId="0" xfId="9" applyFont="1" applyAlignment="1" applyProtection="1">
      <alignment horizontal="left" indent="14"/>
      <protection locked="0"/>
    </xf>
    <xf numFmtId="0" fontId="17" fillId="0" borderId="0" xfId="0" applyFont="1" applyAlignment="1">
      <alignment horizontal="left"/>
    </xf>
    <xf numFmtId="0" fontId="62" fillId="0" borderId="0" xfId="0" applyFont="1" applyAlignment="1" applyProtection="1">
      <alignment horizontal="right"/>
      <protection locked="0"/>
    </xf>
    <xf numFmtId="0" fontId="64" fillId="9" borderId="13" xfId="9" applyFont="1" applyFill="1" applyBorder="1" applyAlignment="1" applyProtection="1">
      <alignment horizontal="center" vertical="top"/>
      <protection locked="0"/>
    </xf>
    <xf numFmtId="0" fontId="64" fillId="9" borderId="47" xfId="9" applyFont="1" applyFill="1" applyBorder="1" applyAlignment="1" applyProtection="1">
      <alignment horizontal="center" vertical="top"/>
      <protection locked="0"/>
    </xf>
    <xf numFmtId="0" fontId="64" fillId="9" borderId="36" xfId="9" applyFont="1" applyFill="1" applyBorder="1" applyAlignment="1" applyProtection="1">
      <alignment horizontal="center" vertical="top"/>
      <protection locked="0"/>
    </xf>
    <xf numFmtId="0" fontId="16" fillId="0" borderId="0" xfId="0" applyFont="1" applyAlignment="1">
      <alignment horizontal="left" indent="15"/>
    </xf>
    <xf numFmtId="0" fontId="64" fillId="7" borderId="33" xfId="9" applyFont="1" applyFill="1" applyBorder="1" applyAlignment="1" applyProtection="1">
      <alignment horizontal="center" vertical="top"/>
      <protection locked="0"/>
    </xf>
    <xf numFmtId="0" fontId="64" fillId="7" borderId="15" xfId="9" applyFont="1" applyFill="1" applyBorder="1" applyAlignment="1" applyProtection="1">
      <alignment horizontal="center" vertical="top"/>
      <protection locked="0"/>
    </xf>
    <xf numFmtId="0" fontId="64" fillId="7" borderId="32" xfId="9" applyFont="1" applyFill="1" applyBorder="1" applyAlignment="1" applyProtection="1">
      <alignment horizontal="center" vertical="top"/>
      <protection locked="0"/>
    </xf>
    <xf numFmtId="0" fontId="17" fillId="0" borderId="0" xfId="0" applyFont="1" applyAlignment="1" applyProtection="1">
      <alignment wrapText="1"/>
      <protection locked="0"/>
    </xf>
    <xf numFmtId="0" fontId="64" fillId="7" borderId="14" xfId="0" applyFont="1" applyFill="1" applyBorder="1" applyAlignment="1" applyProtection="1">
      <alignment horizontal="center" vertical="top"/>
      <protection locked="0"/>
    </xf>
    <xf numFmtId="0" fontId="64" fillId="7" borderId="27" xfId="0" applyFont="1" applyFill="1" applyBorder="1" applyAlignment="1" applyProtection="1">
      <alignment horizontal="center" vertical="top"/>
      <protection locked="0"/>
    </xf>
    <xf numFmtId="0" fontId="64" fillId="7" borderId="28" xfId="0" applyFont="1" applyFill="1" applyBorder="1" applyAlignment="1" applyProtection="1">
      <alignment horizontal="center" vertical="top"/>
      <protection locked="0"/>
    </xf>
    <xf numFmtId="0" fontId="22" fillId="0" borderId="0" xfId="9" applyFont="1" applyAlignment="1" applyProtection="1">
      <alignment horizontal="center"/>
      <protection locked="0"/>
    </xf>
    <xf numFmtId="0" fontId="22" fillId="0" borderId="19" xfId="9" applyFont="1" applyBorder="1" applyAlignment="1" applyProtection="1">
      <alignment horizontal="center"/>
      <protection locked="0"/>
    </xf>
    <xf numFmtId="0" fontId="23" fillId="0" borderId="0" xfId="9" applyFont="1" applyAlignment="1">
      <alignment horizontal="center"/>
    </xf>
    <xf numFmtId="0" fontId="23" fillId="0" borderId="19" xfId="9" applyFont="1" applyBorder="1" applyAlignment="1">
      <alignment horizontal="center"/>
    </xf>
    <xf numFmtId="0" fontId="17" fillId="0" borderId="0" xfId="9" applyFont="1" applyAlignment="1">
      <alignment horizontal="left" vertical="center" indent="4"/>
    </xf>
    <xf numFmtId="0" fontId="17" fillId="0" borderId="19" xfId="9" applyFont="1" applyBorder="1" applyAlignment="1">
      <alignment horizontal="left" vertical="center" indent="4"/>
    </xf>
    <xf numFmtId="0" fontId="16" fillId="0" borderId="0" xfId="0" applyFont="1" applyAlignment="1">
      <alignment horizontal="left" indent="19"/>
    </xf>
    <xf numFmtId="0" fontId="16" fillId="0" borderId="0" xfId="0" applyFont="1" applyAlignment="1">
      <alignment horizontal="left" indent="18"/>
    </xf>
    <xf numFmtId="0" fontId="54" fillId="0" borderId="0" xfId="0" applyFont="1" applyAlignment="1" applyProtection="1">
      <alignment horizontal="right"/>
      <protection locked="0"/>
    </xf>
    <xf numFmtId="0" fontId="110" fillId="0" borderId="0" xfId="0" applyFont="1" applyAlignment="1">
      <alignment horizontal="left" wrapText="1"/>
    </xf>
    <xf numFmtId="0" fontId="19" fillId="7" borderId="44" xfId="0" applyFont="1" applyFill="1" applyBorder="1" applyAlignment="1" applyProtection="1">
      <alignment horizontal="left" vertical="top" indent="16"/>
      <protection locked="0"/>
    </xf>
    <xf numFmtId="0" fontId="19" fillId="7" borderId="46" xfId="0" applyFont="1" applyFill="1" applyBorder="1" applyAlignment="1" applyProtection="1">
      <alignment horizontal="left" vertical="top" indent="16"/>
      <protection locked="0"/>
    </xf>
    <xf numFmtId="0" fontId="16" fillId="0" borderId="0" xfId="0" applyFont="1" applyAlignment="1">
      <alignment horizontal="left" indent="10"/>
    </xf>
    <xf numFmtId="0" fontId="17" fillId="0" borderId="0" xfId="0" applyFont="1" applyAlignment="1">
      <alignment horizontal="center" vertical="center" wrapText="1"/>
    </xf>
    <xf numFmtId="0" fontId="100" fillId="0" borderId="0" xfId="0" applyFont="1" applyAlignment="1" applyProtection="1">
      <alignment horizontal="right"/>
      <protection locked="0"/>
    </xf>
  </cellXfs>
  <cellStyles count="14">
    <cellStyle name="Incorrecto" xfId="11" builtinId="27"/>
    <cellStyle name="Millares" xfId="1" builtinId="3"/>
    <cellStyle name="Millares 2" xfId="2" xr:uid="{00000000-0005-0000-0000-000001000000}"/>
    <cellStyle name="Millares 2 2" xfId="3" xr:uid="{00000000-0005-0000-0000-000002000000}"/>
    <cellStyle name="Millares 3" xfId="4" xr:uid="{00000000-0005-0000-0000-000003000000}"/>
    <cellStyle name="Millares 4" xfId="5" xr:uid="{00000000-0005-0000-0000-000004000000}"/>
    <cellStyle name="Millares 5" xfId="6" xr:uid="{00000000-0005-0000-0000-000005000000}"/>
    <cellStyle name="Millares 5 2" xfId="7" xr:uid="{00000000-0005-0000-0000-000006000000}"/>
    <cellStyle name="Millares 6" xfId="8" xr:uid="{00000000-0005-0000-0000-000007000000}"/>
    <cellStyle name="Normal" xfId="0" builtinId="0" customBuiltin="1"/>
    <cellStyle name="Normal 11 2 2 2" xfId="13" xr:uid="{21DAA6D8-4D8B-44E7-8A88-109600671694}"/>
    <cellStyle name="Normal 15" xfId="9" xr:uid="{00000000-0005-0000-0000-000009000000}"/>
    <cellStyle name="Normal 2" xfId="10" xr:uid="{00000000-0005-0000-0000-00000A000000}"/>
    <cellStyle name="Normal 3" xfId="12" xr:uid="{0B6E1B44-E36C-4271-8BE1-F11259830A8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360422</xdr:colOff>
      <xdr:row>0</xdr:row>
      <xdr:rowOff>110064</xdr:rowOff>
    </xdr:from>
    <xdr:to>
      <xdr:col>4</xdr:col>
      <xdr:colOff>643774</xdr:colOff>
      <xdr:row>5</xdr:row>
      <xdr:rowOff>69958</xdr:rowOff>
    </xdr:to>
    <xdr:pic>
      <xdr:nvPicPr>
        <xdr:cNvPr id="2427355" name="Imagen 3">
          <a:extLst>
            <a:ext uri="{FF2B5EF4-FFF2-40B4-BE49-F238E27FC236}">
              <a16:creationId xmlns:a16="http://schemas.microsoft.com/office/drawing/2014/main" id="{06D36B7B-432B-9415-313B-06F45901F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90" t="35667" r="34509" b="40652"/>
        <a:stretch>
          <a:fillRect/>
        </a:stretch>
      </xdr:blipFill>
      <xdr:spPr bwMode="auto">
        <a:xfrm>
          <a:off x="503809" y="110064"/>
          <a:ext cx="1993755" cy="1168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4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2425595" name="Line 1">
          <a:extLst>
            <a:ext uri="{FF2B5EF4-FFF2-40B4-BE49-F238E27FC236}">
              <a16:creationId xmlns:a16="http://schemas.microsoft.com/office/drawing/2014/main" id="{10F08CCE-2D75-7614-3DF5-F3241B2DD61B}"/>
            </a:ext>
          </a:extLst>
        </xdr:cNvPr>
        <xdr:cNvSpPr>
          <a:spLocks noChangeShapeType="1"/>
        </xdr:cNvSpPr>
      </xdr:nvSpPr>
      <xdr:spPr bwMode="auto">
        <a:xfrm>
          <a:off x="12496800" y="866775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93518</xdr:colOff>
      <xdr:row>1</xdr:row>
      <xdr:rowOff>34635</xdr:rowOff>
    </xdr:from>
    <xdr:to>
      <xdr:col>3</xdr:col>
      <xdr:colOff>329045</xdr:colOff>
      <xdr:row>4</xdr:row>
      <xdr:rowOff>89476</xdr:rowOff>
    </xdr:to>
    <xdr:pic>
      <xdr:nvPicPr>
        <xdr:cNvPr id="2425596" name="Imagen 3">
          <a:extLst>
            <a:ext uri="{FF2B5EF4-FFF2-40B4-BE49-F238E27FC236}">
              <a16:creationId xmlns:a16="http://schemas.microsoft.com/office/drawing/2014/main" id="{51A8F20B-122C-4918-53F2-D80F23EA3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90" t="35667" r="34509" b="40652"/>
        <a:stretch>
          <a:fillRect/>
        </a:stretch>
      </xdr:blipFill>
      <xdr:spPr bwMode="auto">
        <a:xfrm>
          <a:off x="266700" y="199158"/>
          <a:ext cx="1672936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2426622" name="Line 1">
          <a:extLst>
            <a:ext uri="{FF2B5EF4-FFF2-40B4-BE49-F238E27FC236}">
              <a16:creationId xmlns:a16="http://schemas.microsoft.com/office/drawing/2014/main" id="{9C18C657-5B54-95F0-0446-6482274FFEDB}"/>
            </a:ext>
          </a:extLst>
        </xdr:cNvPr>
        <xdr:cNvSpPr>
          <a:spLocks noChangeShapeType="1"/>
        </xdr:cNvSpPr>
      </xdr:nvSpPr>
      <xdr:spPr bwMode="auto">
        <a:xfrm>
          <a:off x="12849225" y="866775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9718</xdr:colOff>
      <xdr:row>0</xdr:row>
      <xdr:rowOff>38878</xdr:rowOff>
    </xdr:from>
    <xdr:to>
      <xdr:col>4</xdr:col>
      <xdr:colOff>437372</xdr:colOff>
      <xdr:row>4</xdr:row>
      <xdr:rowOff>11987</xdr:rowOff>
    </xdr:to>
    <xdr:pic>
      <xdr:nvPicPr>
        <xdr:cNvPr id="2426623" name="Imagen 3">
          <a:extLst>
            <a:ext uri="{FF2B5EF4-FFF2-40B4-BE49-F238E27FC236}">
              <a16:creationId xmlns:a16="http://schemas.microsoft.com/office/drawing/2014/main" id="{964A024D-DBAD-B647-CE17-64C6BB6FC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90" t="35667" r="34509" b="40652"/>
        <a:stretch>
          <a:fillRect/>
        </a:stretch>
      </xdr:blipFill>
      <xdr:spPr bwMode="auto">
        <a:xfrm>
          <a:off x="709514" y="38878"/>
          <a:ext cx="1739771" cy="99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2424590" name="Line 1">
          <a:extLst>
            <a:ext uri="{FF2B5EF4-FFF2-40B4-BE49-F238E27FC236}">
              <a16:creationId xmlns:a16="http://schemas.microsoft.com/office/drawing/2014/main" id="{7111AD9E-E16C-EA5D-957F-411855662493}"/>
            </a:ext>
          </a:extLst>
        </xdr:cNvPr>
        <xdr:cNvSpPr>
          <a:spLocks noChangeShapeType="1"/>
        </xdr:cNvSpPr>
      </xdr:nvSpPr>
      <xdr:spPr bwMode="auto">
        <a:xfrm>
          <a:off x="14478000" y="866775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233795</xdr:colOff>
      <xdr:row>0</xdr:row>
      <xdr:rowOff>86592</xdr:rowOff>
    </xdr:from>
    <xdr:to>
      <xdr:col>3</xdr:col>
      <xdr:colOff>484908</xdr:colOff>
      <xdr:row>4</xdr:row>
      <xdr:rowOff>867</xdr:rowOff>
    </xdr:to>
    <xdr:pic>
      <xdr:nvPicPr>
        <xdr:cNvPr id="2424591" name="Imagen 3">
          <a:extLst>
            <a:ext uri="{FF2B5EF4-FFF2-40B4-BE49-F238E27FC236}">
              <a16:creationId xmlns:a16="http://schemas.microsoft.com/office/drawing/2014/main" id="{75C56149-CA3E-DC63-840A-319CC88D8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90" t="35667" r="34509" b="40652"/>
        <a:stretch>
          <a:fillRect/>
        </a:stretch>
      </xdr:blipFill>
      <xdr:spPr bwMode="auto">
        <a:xfrm>
          <a:off x="320386" y="86592"/>
          <a:ext cx="1549977" cy="970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</xdr:row>
      <xdr:rowOff>0</xdr:rowOff>
    </xdr:from>
    <xdr:to>
      <xdr:col>18</xdr:col>
      <xdr:colOff>0</xdr:colOff>
      <xdr:row>5</xdr:row>
      <xdr:rowOff>0</xdr:rowOff>
    </xdr:to>
    <xdr:sp macro="" textlink="">
      <xdr:nvSpPr>
        <xdr:cNvPr id="2423586" name="Line 1">
          <a:extLst>
            <a:ext uri="{FF2B5EF4-FFF2-40B4-BE49-F238E27FC236}">
              <a16:creationId xmlns:a16="http://schemas.microsoft.com/office/drawing/2014/main" id="{AB5D25D7-2D4F-1B7E-B939-88AA23DA3469}"/>
            </a:ext>
          </a:extLst>
        </xdr:cNvPr>
        <xdr:cNvSpPr>
          <a:spLocks noChangeShapeType="1"/>
        </xdr:cNvSpPr>
      </xdr:nvSpPr>
      <xdr:spPr bwMode="auto">
        <a:xfrm>
          <a:off x="14525625" y="1028700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416035</xdr:colOff>
      <xdr:row>1</xdr:row>
      <xdr:rowOff>73725</xdr:rowOff>
    </xdr:from>
    <xdr:to>
      <xdr:col>3</xdr:col>
      <xdr:colOff>696857</xdr:colOff>
      <xdr:row>5</xdr:row>
      <xdr:rowOff>43795</xdr:rowOff>
    </xdr:to>
    <xdr:pic>
      <xdr:nvPicPr>
        <xdr:cNvPr id="2423587" name="Imagen 4">
          <a:extLst>
            <a:ext uri="{FF2B5EF4-FFF2-40B4-BE49-F238E27FC236}">
              <a16:creationId xmlns:a16="http://schemas.microsoft.com/office/drawing/2014/main" id="{74B53DEE-861D-1640-D419-3ABDD0719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90" t="35667" r="34509" b="40652"/>
        <a:stretch>
          <a:fillRect/>
        </a:stretch>
      </xdr:blipFill>
      <xdr:spPr bwMode="auto">
        <a:xfrm>
          <a:off x="503621" y="237949"/>
          <a:ext cx="1934012" cy="99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713582</xdr:colOff>
      <xdr:row>2</xdr:row>
      <xdr:rowOff>9526</xdr:rowOff>
    </xdr:from>
    <xdr:to>
      <xdr:col>4</xdr:col>
      <xdr:colOff>453232</xdr:colOff>
      <xdr:row>5</xdr:row>
      <xdr:rowOff>30080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C6416C74-F4D0-4CF3-B3D3-ECAB2AB23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90" t="35667" r="34509" b="40652"/>
        <a:stretch>
          <a:fillRect/>
        </a:stretch>
      </xdr:blipFill>
      <xdr:spPr bwMode="auto">
        <a:xfrm>
          <a:off x="1118395" y="390526"/>
          <a:ext cx="2025650" cy="1258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C7587DEC-EE64-4DB4-9B2D-8940A883108A}">
  <we:reference id="a3b40b4f-8edf-490e-9df1-7e66f93912bf" version="1.1.0.0" store="EXCatalog" storeType="EXCatalog"/>
  <we:alternateReferences>
    <we:reference id="WA104380526" version="1.1.0.0" store="es-ES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2:S2164"/>
  <sheetViews>
    <sheetView zoomScale="93" zoomScaleNormal="93" workbookViewId="0">
      <selection activeCell="H3" sqref="H3"/>
    </sheetView>
  </sheetViews>
  <sheetFormatPr baseColWidth="10" defaultColWidth="11.42578125" defaultRowHeight="15" x14ac:dyDescent="0.25"/>
  <cols>
    <col min="1" max="1" width="2.140625" customWidth="1"/>
    <col min="2" max="2" width="11.7109375" style="858" customWidth="1"/>
    <col min="3" max="3" width="14" style="419" customWidth="1"/>
    <col min="4" max="4" width="11.7109375" style="419" hidden="1" customWidth="1"/>
    <col min="5" max="5" width="17.28515625" customWidth="1"/>
    <col min="6" max="6" width="15.140625" customWidth="1"/>
    <col min="7" max="7" width="30.28515625" style="754" customWidth="1"/>
    <col min="8" max="8" width="33.85546875" customWidth="1"/>
    <col min="9" max="9" width="28.28515625" customWidth="1"/>
    <col min="10" max="10" width="29.28515625" customWidth="1"/>
    <col min="11" max="11" width="20.28515625" customWidth="1"/>
    <col min="12" max="12" width="8.28515625" customWidth="1"/>
    <col min="13" max="13" width="18.28515625" customWidth="1"/>
    <col min="14" max="14" width="6.7109375" style="324" customWidth="1"/>
    <col min="15" max="15" width="12.28515625" style="511" customWidth="1"/>
    <col min="16" max="16" width="13.28515625" style="509" customWidth="1"/>
    <col min="17" max="17" width="17.42578125" hidden="1" customWidth="1"/>
    <col min="18" max="18" width="19.7109375" customWidth="1"/>
    <col min="19" max="19" width="22.5703125" customWidth="1"/>
    <col min="20" max="20" width="4.7109375" customWidth="1"/>
    <col min="21" max="21" width="2.140625" customWidth="1"/>
    <col min="22" max="22" width="3.140625" customWidth="1"/>
    <col min="23" max="23" width="3.5703125" customWidth="1"/>
  </cols>
  <sheetData>
    <row r="2" spans="1:19" ht="26.25" x14ac:dyDescent="0.3">
      <c r="E2" s="845" t="s">
        <v>0</v>
      </c>
      <c r="F2" s="844"/>
      <c r="G2" s="755"/>
      <c r="H2" s="325"/>
      <c r="I2" s="325"/>
      <c r="J2" s="326"/>
      <c r="K2" s="326"/>
      <c r="L2" s="326"/>
      <c r="M2" s="326"/>
      <c r="N2" s="338"/>
      <c r="O2" s="510"/>
      <c r="P2" s="512"/>
      <c r="Q2" s="326"/>
    </row>
    <row r="3" spans="1:19" ht="20.25" x14ac:dyDescent="0.25">
      <c r="E3" s="14" t="s">
        <v>1</v>
      </c>
      <c r="F3" s="327"/>
      <c r="G3" s="756"/>
      <c r="H3" s="327"/>
      <c r="I3" s="327"/>
      <c r="J3" s="327"/>
      <c r="K3" s="327"/>
      <c r="L3" s="327"/>
      <c r="M3" s="327"/>
      <c r="N3" s="339"/>
      <c r="O3" s="339"/>
      <c r="P3" s="327"/>
      <c r="Q3" s="340"/>
    </row>
    <row r="4" spans="1:19" ht="18" x14ac:dyDescent="0.25">
      <c r="E4" s="18" t="s">
        <v>7092</v>
      </c>
      <c r="F4" s="328"/>
      <c r="G4" s="757"/>
      <c r="H4" s="328"/>
      <c r="I4" s="328"/>
      <c r="J4" s="328"/>
      <c r="K4" s="328"/>
      <c r="L4" s="328"/>
      <c r="M4" s="328"/>
      <c r="N4" s="341"/>
      <c r="O4" s="341"/>
      <c r="P4" s="328"/>
      <c r="Q4" s="328"/>
    </row>
    <row r="7" spans="1:19" ht="57.75" customHeight="1" x14ac:dyDescent="0.25">
      <c r="B7" s="452" t="s">
        <v>4318</v>
      </c>
      <c r="C7" s="452" t="s">
        <v>4319</v>
      </c>
      <c r="D7" s="452" t="s">
        <v>6012</v>
      </c>
      <c r="E7" s="746" t="s">
        <v>3</v>
      </c>
      <c r="F7" s="746" t="s">
        <v>5910</v>
      </c>
      <c r="G7" s="758" t="s">
        <v>5</v>
      </c>
      <c r="H7" s="529" t="s">
        <v>6</v>
      </c>
      <c r="I7" s="457" t="s">
        <v>7</v>
      </c>
      <c r="J7" s="743" t="s">
        <v>8</v>
      </c>
      <c r="K7" s="444" t="s">
        <v>9</v>
      </c>
      <c r="L7" s="444" t="s">
        <v>10</v>
      </c>
      <c r="M7" s="444" t="s">
        <v>11</v>
      </c>
      <c r="N7" s="545" t="s">
        <v>12</v>
      </c>
      <c r="O7" s="545" t="s">
        <v>13</v>
      </c>
      <c r="P7" s="445" t="s">
        <v>14</v>
      </c>
      <c r="Q7" s="445" t="s">
        <v>15</v>
      </c>
      <c r="R7" s="445" t="s">
        <v>15</v>
      </c>
      <c r="S7" s="445" t="s">
        <v>16</v>
      </c>
    </row>
    <row r="8" spans="1:19" ht="43.5" customHeight="1" x14ac:dyDescent="0.25">
      <c r="B8" s="859">
        <v>38400</v>
      </c>
      <c r="C8" s="558" t="s">
        <v>2349</v>
      </c>
      <c r="D8" s="558"/>
      <c r="E8" s="559" t="s">
        <v>17</v>
      </c>
      <c r="F8" s="548" t="s">
        <v>25</v>
      </c>
      <c r="G8" s="559" t="s">
        <v>22</v>
      </c>
      <c r="H8" s="548" t="s">
        <v>18</v>
      </c>
      <c r="I8" s="548" t="s">
        <v>23</v>
      </c>
      <c r="J8" s="548" t="s">
        <v>24</v>
      </c>
      <c r="K8" s="560">
        <v>4173.6000000000004</v>
      </c>
      <c r="L8" s="561">
        <v>28.491</v>
      </c>
      <c r="M8" s="552">
        <f t="shared" ref="M8:M71" si="0">+K8/L8</f>
        <v>146.48836474676216</v>
      </c>
      <c r="N8" s="562">
        <v>60</v>
      </c>
      <c r="O8" s="563">
        <f t="shared" ref="O8:O71" si="1">IF(AND(K8&lt;&gt;0,N8&lt;&gt;0),K8/N8,0)</f>
        <v>69.56</v>
      </c>
      <c r="P8" s="564">
        <f t="shared" ref="P8:P71" ca="1" si="2">IF(B8&lt;&gt;0,(ROUND((NOW()-B8)/30,0)),0)</f>
        <v>248</v>
      </c>
      <c r="Q8" s="552">
        <f t="shared" ref="Q8:Q71" ca="1" si="3">IF(OR(K8=0,N8=0,P8=0),0,K8-(O8*P8))</f>
        <v>-13077.28</v>
      </c>
      <c r="R8" s="563">
        <f t="shared" ref="R8:R71" ca="1" si="4">IF(Q8&lt;1,1,Q8)</f>
        <v>1</v>
      </c>
      <c r="S8" s="565" t="s">
        <v>20</v>
      </c>
    </row>
    <row r="9" spans="1:19" ht="39.950000000000003" customHeight="1" x14ac:dyDescent="0.25">
      <c r="B9" s="859">
        <v>38400</v>
      </c>
      <c r="C9" s="558" t="s">
        <v>2349</v>
      </c>
      <c r="D9" s="558"/>
      <c r="E9" s="559" t="s">
        <v>17</v>
      </c>
      <c r="F9" s="548" t="s">
        <v>26</v>
      </c>
      <c r="G9" s="559" t="s">
        <v>22</v>
      </c>
      <c r="H9" s="548" t="s">
        <v>18</v>
      </c>
      <c r="I9" s="548" t="s">
        <v>23</v>
      </c>
      <c r="J9" s="548" t="s">
        <v>24</v>
      </c>
      <c r="K9" s="560">
        <v>4173.6000000000004</v>
      </c>
      <c r="L9" s="561">
        <v>28.491</v>
      </c>
      <c r="M9" s="552">
        <f t="shared" si="0"/>
        <v>146.48836474676216</v>
      </c>
      <c r="N9" s="562">
        <v>60</v>
      </c>
      <c r="O9" s="563">
        <f t="shared" si="1"/>
        <v>69.56</v>
      </c>
      <c r="P9" s="564">
        <f t="shared" ca="1" si="2"/>
        <v>248</v>
      </c>
      <c r="Q9" s="552">
        <f t="shared" ca="1" si="3"/>
        <v>-13077.28</v>
      </c>
      <c r="R9" s="563">
        <f t="shared" ca="1" si="4"/>
        <v>1</v>
      </c>
      <c r="S9" s="565" t="s">
        <v>20</v>
      </c>
    </row>
    <row r="10" spans="1:19" ht="39.950000000000003" customHeight="1" x14ac:dyDescent="0.25">
      <c r="B10" s="859">
        <v>38400</v>
      </c>
      <c r="C10" s="558" t="s">
        <v>2349</v>
      </c>
      <c r="D10" s="558"/>
      <c r="E10" s="559" t="s">
        <v>17</v>
      </c>
      <c r="F10" s="548" t="s">
        <v>27</v>
      </c>
      <c r="G10" s="559" t="s">
        <v>22</v>
      </c>
      <c r="H10" s="548" t="s">
        <v>18</v>
      </c>
      <c r="I10" s="548" t="s">
        <v>23</v>
      </c>
      <c r="J10" s="548" t="s">
        <v>24</v>
      </c>
      <c r="K10" s="560">
        <v>4173.6000000000004</v>
      </c>
      <c r="L10" s="561">
        <v>28.491</v>
      </c>
      <c r="M10" s="552">
        <f t="shared" si="0"/>
        <v>146.48836474676216</v>
      </c>
      <c r="N10" s="562">
        <v>60</v>
      </c>
      <c r="O10" s="563">
        <f t="shared" si="1"/>
        <v>69.56</v>
      </c>
      <c r="P10" s="564">
        <f t="shared" ca="1" si="2"/>
        <v>248</v>
      </c>
      <c r="Q10" s="552">
        <f t="shared" ca="1" si="3"/>
        <v>-13077.28</v>
      </c>
      <c r="R10" s="563">
        <f t="shared" ca="1" si="4"/>
        <v>1</v>
      </c>
      <c r="S10" s="565" t="s">
        <v>20</v>
      </c>
    </row>
    <row r="11" spans="1:19" ht="39.950000000000003" customHeight="1" x14ac:dyDescent="0.25">
      <c r="B11" s="859">
        <v>38652</v>
      </c>
      <c r="C11" s="558" t="s">
        <v>2349</v>
      </c>
      <c r="D11" s="558"/>
      <c r="E11" s="565" t="s">
        <v>31</v>
      </c>
      <c r="F11" s="548" t="s">
        <v>32</v>
      </c>
      <c r="G11" s="559" t="s">
        <v>33</v>
      </c>
      <c r="H11" s="548" t="s">
        <v>28</v>
      </c>
      <c r="I11" s="548" t="s">
        <v>34</v>
      </c>
      <c r="J11" s="548" t="s">
        <v>19</v>
      </c>
      <c r="K11" s="560">
        <v>5700</v>
      </c>
      <c r="L11" s="561">
        <v>33.089515848136543</v>
      </c>
      <c r="M11" s="552">
        <f t="shared" si="0"/>
        <v>172.25999999999996</v>
      </c>
      <c r="N11" s="562">
        <v>60</v>
      </c>
      <c r="O11" s="563">
        <f t="shared" si="1"/>
        <v>95</v>
      </c>
      <c r="P11" s="564">
        <f t="shared" ca="1" si="2"/>
        <v>240</v>
      </c>
      <c r="Q11" s="552">
        <f t="shared" ca="1" si="3"/>
        <v>-17100</v>
      </c>
      <c r="R11" s="563">
        <f t="shared" ca="1" si="4"/>
        <v>1</v>
      </c>
      <c r="S11" s="565" t="s">
        <v>35</v>
      </c>
    </row>
    <row r="12" spans="1:19" ht="58.5" customHeight="1" x14ac:dyDescent="0.25">
      <c r="A12" s="323"/>
      <c r="B12" s="859">
        <v>38733</v>
      </c>
      <c r="C12" s="558" t="s">
        <v>2349</v>
      </c>
      <c r="D12" s="558"/>
      <c r="E12" s="565" t="s">
        <v>36</v>
      </c>
      <c r="F12" s="548" t="s">
        <v>42</v>
      </c>
      <c r="G12" s="559" t="s">
        <v>43</v>
      </c>
      <c r="H12" s="548" t="s">
        <v>44</v>
      </c>
      <c r="I12" s="548" t="s">
        <v>45</v>
      </c>
      <c r="J12" s="548" t="s">
        <v>46</v>
      </c>
      <c r="K12" s="560">
        <v>887978.73</v>
      </c>
      <c r="L12" s="561">
        <v>34.449999941806041</v>
      </c>
      <c r="M12" s="552">
        <f t="shared" si="0"/>
        <v>25775.870290275758</v>
      </c>
      <c r="N12" s="562">
        <v>60</v>
      </c>
      <c r="O12" s="563">
        <f t="shared" si="1"/>
        <v>14799.645500000001</v>
      </c>
      <c r="P12" s="564">
        <f t="shared" ca="1" si="2"/>
        <v>237</v>
      </c>
      <c r="Q12" s="552">
        <f t="shared" ca="1" si="3"/>
        <v>-2619537.2535000001</v>
      </c>
      <c r="R12" s="563">
        <f t="shared" ca="1" si="4"/>
        <v>1</v>
      </c>
      <c r="S12" s="565" t="s">
        <v>41</v>
      </c>
    </row>
    <row r="13" spans="1:19" ht="48" customHeight="1" x14ac:dyDescent="0.25">
      <c r="A13" s="323"/>
      <c r="B13" s="859">
        <v>38733</v>
      </c>
      <c r="C13" s="558" t="s">
        <v>2349</v>
      </c>
      <c r="D13" s="558"/>
      <c r="E13" s="565" t="s">
        <v>36</v>
      </c>
      <c r="F13" s="548" t="s">
        <v>37</v>
      </c>
      <c r="G13" s="559" t="s">
        <v>38</v>
      </c>
      <c r="H13" s="548" t="s">
        <v>39</v>
      </c>
      <c r="I13" s="548" t="s">
        <v>40</v>
      </c>
      <c r="J13" s="548" t="s">
        <v>19</v>
      </c>
      <c r="K13" s="560">
        <v>887978.72</v>
      </c>
      <c r="L13" s="561">
        <v>34.449999941806041</v>
      </c>
      <c r="M13" s="552">
        <f t="shared" si="0"/>
        <v>25775.869999999995</v>
      </c>
      <c r="N13" s="562">
        <v>60</v>
      </c>
      <c r="O13" s="563">
        <f t="shared" si="1"/>
        <v>14799.645333333332</v>
      </c>
      <c r="P13" s="564">
        <f t="shared" ca="1" si="2"/>
        <v>237</v>
      </c>
      <c r="Q13" s="552">
        <f t="shared" ca="1" si="3"/>
        <v>-2619537.2239999995</v>
      </c>
      <c r="R13" s="563">
        <f t="shared" ca="1" si="4"/>
        <v>1</v>
      </c>
      <c r="S13" s="565" t="s">
        <v>41</v>
      </c>
    </row>
    <row r="14" spans="1:19" ht="67.5" customHeight="1" x14ac:dyDescent="0.25">
      <c r="A14" s="323"/>
      <c r="B14" s="859">
        <v>38733</v>
      </c>
      <c r="C14" s="558" t="s">
        <v>2349</v>
      </c>
      <c r="D14" s="558"/>
      <c r="E14" s="565" t="s">
        <v>36</v>
      </c>
      <c r="F14" s="548" t="s">
        <v>47</v>
      </c>
      <c r="G14" s="559" t="s">
        <v>38</v>
      </c>
      <c r="H14" s="548" t="s">
        <v>48</v>
      </c>
      <c r="I14" s="548" t="s">
        <v>49</v>
      </c>
      <c r="J14" s="548" t="s">
        <v>50</v>
      </c>
      <c r="K14" s="566">
        <v>887978.72</v>
      </c>
      <c r="L14" s="561">
        <v>34.450000329765786</v>
      </c>
      <c r="M14" s="552">
        <f t="shared" si="0"/>
        <v>25775.86970972424</v>
      </c>
      <c r="N14" s="526">
        <v>60</v>
      </c>
      <c r="O14" s="563">
        <f t="shared" si="1"/>
        <v>14799.645333333332</v>
      </c>
      <c r="P14" s="564">
        <f t="shared" ca="1" si="2"/>
        <v>237</v>
      </c>
      <c r="Q14" s="552">
        <f t="shared" ca="1" si="3"/>
        <v>-2619537.2239999995</v>
      </c>
      <c r="R14" s="563">
        <f t="shared" ca="1" si="4"/>
        <v>1</v>
      </c>
      <c r="S14" s="565" t="s">
        <v>41</v>
      </c>
    </row>
    <row r="15" spans="1:19" ht="54.75" customHeight="1" x14ac:dyDescent="0.25">
      <c r="B15" s="859">
        <v>38785</v>
      </c>
      <c r="C15" s="558" t="s">
        <v>2349</v>
      </c>
      <c r="D15" s="558"/>
      <c r="E15" s="565" t="s">
        <v>51</v>
      </c>
      <c r="F15" s="548" t="s">
        <v>52</v>
      </c>
      <c r="G15" s="559" t="s">
        <v>53</v>
      </c>
      <c r="H15" s="548" t="s">
        <v>28</v>
      </c>
      <c r="I15" s="548" t="s">
        <v>23</v>
      </c>
      <c r="J15" s="548" t="s">
        <v>54</v>
      </c>
      <c r="K15" s="560">
        <v>3445</v>
      </c>
      <c r="L15" s="561">
        <v>32.82</v>
      </c>
      <c r="M15" s="552">
        <f t="shared" si="0"/>
        <v>104.96648385131017</v>
      </c>
      <c r="N15" s="562">
        <v>60</v>
      </c>
      <c r="O15" s="563">
        <f t="shared" si="1"/>
        <v>57.416666666666664</v>
      </c>
      <c r="P15" s="564">
        <f t="shared" ca="1" si="2"/>
        <v>235</v>
      </c>
      <c r="Q15" s="552">
        <f t="shared" ca="1" si="3"/>
        <v>-10047.916666666666</v>
      </c>
      <c r="R15" s="563">
        <f t="shared" ca="1" si="4"/>
        <v>1</v>
      </c>
      <c r="S15" s="565" t="s">
        <v>55</v>
      </c>
    </row>
    <row r="16" spans="1:19" ht="45.75" customHeight="1" x14ac:dyDescent="0.25">
      <c r="B16" s="859">
        <v>38965</v>
      </c>
      <c r="C16" s="558" t="s">
        <v>2349</v>
      </c>
      <c r="D16" s="558"/>
      <c r="E16" s="565" t="s">
        <v>56</v>
      </c>
      <c r="F16" s="548" t="s">
        <v>62</v>
      </c>
      <c r="G16" s="559" t="s">
        <v>63</v>
      </c>
      <c r="H16" s="548" t="s">
        <v>64</v>
      </c>
      <c r="I16" s="548" t="s">
        <v>60</v>
      </c>
      <c r="J16" s="548" t="s">
        <v>19</v>
      </c>
      <c r="K16" s="560">
        <v>132678.288</v>
      </c>
      <c r="L16" s="561">
        <v>32.700000000000003</v>
      </c>
      <c r="M16" s="552">
        <f t="shared" si="0"/>
        <v>4057.4399999999996</v>
      </c>
      <c r="N16" s="562">
        <v>60</v>
      </c>
      <c r="O16" s="563">
        <f t="shared" si="1"/>
        <v>2211.3047999999999</v>
      </c>
      <c r="P16" s="564">
        <f t="shared" ca="1" si="2"/>
        <v>229</v>
      </c>
      <c r="Q16" s="552">
        <f t="shared" ca="1" si="3"/>
        <v>-373710.51119999995</v>
      </c>
      <c r="R16" s="563">
        <f t="shared" ca="1" si="4"/>
        <v>1</v>
      </c>
      <c r="S16" s="565" t="s">
        <v>61</v>
      </c>
    </row>
    <row r="17" spans="1:19" ht="47.25" customHeight="1" x14ac:dyDescent="0.25">
      <c r="B17" s="859">
        <v>38965</v>
      </c>
      <c r="C17" s="558" t="s">
        <v>2349</v>
      </c>
      <c r="D17" s="558"/>
      <c r="E17" s="565" t="s">
        <v>56</v>
      </c>
      <c r="F17" s="548" t="s">
        <v>65</v>
      </c>
      <c r="G17" s="559" t="s">
        <v>63</v>
      </c>
      <c r="H17" s="548" t="s">
        <v>66</v>
      </c>
      <c r="I17" s="548" t="s">
        <v>60</v>
      </c>
      <c r="J17" s="548" t="s">
        <v>19</v>
      </c>
      <c r="K17" s="560">
        <v>132678.288</v>
      </c>
      <c r="L17" s="561">
        <v>32.700000000000003</v>
      </c>
      <c r="M17" s="552">
        <f t="shared" si="0"/>
        <v>4057.4399999999996</v>
      </c>
      <c r="N17" s="562">
        <v>60</v>
      </c>
      <c r="O17" s="563">
        <f t="shared" si="1"/>
        <v>2211.3047999999999</v>
      </c>
      <c r="P17" s="564">
        <f t="shared" ca="1" si="2"/>
        <v>229</v>
      </c>
      <c r="Q17" s="552">
        <f t="shared" ca="1" si="3"/>
        <v>-373710.51119999995</v>
      </c>
      <c r="R17" s="563">
        <f t="shared" ca="1" si="4"/>
        <v>1</v>
      </c>
      <c r="S17" s="565" t="s">
        <v>61</v>
      </c>
    </row>
    <row r="18" spans="1:19" ht="44.25" customHeight="1" x14ac:dyDescent="0.25">
      <c r="B18" s="859">
        <v>38965</v>
      </c>
      <c r="C18" s="558" t="s">
        <v>2349</v>
      </c>
      <c r="D18" s="558"/>
      <c r="E18" s="565" t="s">
        <v>56</v>
      </c>
      <c r="F18" s="548" t="s">
        <v>57</v>
      </c>
      <c r="G18" s="559" t="s">
        <v>58</v>
      </c>
      <c r="H18" s="548" t="s">
        <v>59</v>
      </c>
      <c r="I18" s="548" t="s">
        <v>60</v>
      </c>
      <c r="J18" s="548" t="s">
        <v>19</v>
      </c>
      <c r="K18" s="560">
        <v>225703.90200000003</v>
      </c>
      <c r="L18" s="561">
        <v>32.700000000000003</v>
      </c>
      <c r="M18" s="552">
        <f t="shared" si="0"/>
        <v>6902.26</v>
      </c>
      <c r="N18" s="562">
        <v>60</v>
      </c>
      <c r="O18" s="563">
        <f t="shared" si="1"/>
        <v>3761.7317000000007</v>
      </c>
      <c r="P18" s="564">
        <f t="shared" ca="1" si="2"/>
        <v>229</v>
      </c>
      <c r="Q18" s="552">
        <f t="shared" ca="1" si="3"/>
        <v>-635732.6573000002</v>
      </c>
      <c r="R18" s="563">
        <f t="shared" ca="1" si="4"/>
        <v>1</v>
      </c>
      <c r="S18" s="565" t="s">
        <v>61</v>
      </c>
    </row>
    <row r="19" spans="1:19" ht="81.75" customHeight="1" x14ac:dyDescent="0.25">
      <c r="A19" s="323"/>
      <c r="B19" s="859">
        <v>39013</v>
      </c>
      <c r="C19" s="558" t="s">
        <v>2349</v>
      </c>
      <c r="D19" s="558"/>
      <c r="E19" s="565" t="s">
        <v>69</v>
      </c>
      <c r="F19" s="548" t="s">
        <v>70</v>
      </c>
      <c r="G19" s="559" t="s">
        <v>71</v>
      </c>
      <c r="H19" s="841" t="s">
        <v>72</v>
      </c>
      <c r="I19" s="548" t="s">
        <v>40</v>
      </c>
      <c r="J19" s="548" t="s">
        <v>19</v>
      </c>
      <c r="K19" s="560">
        <v>2104482.7599999998</v>
      </c>
      <c r="L19" s="561">
        <v>33.5</v>
      </c>
      <c r="M19" s="552">
        <f t="shared" si="0"/>
        <v>62820.380895522379</v>
      </c>
      <c r="N19" s="562">
        <v>60</v>
      </c>
      <c r="O19" s="563">
        <f t="shared" si="1"/>
        <v>35074.712666666666</v>
      </c>
      <c r="P19" s="564">
        <f t="shared" ca="1" si="2"/>
        <v>228</v>
      </c>
      <c r="Q19" s="552">
        <f t="shared" ca="1" si="3"/>
        <v>-5892551.7280000001</v>
      </c>
      <c r="R19" s="563">
        <f t="shared" ca="1" si="4"/>
        <v>1</v>
      </c>
      <c r="S19" s="565" t="s">
        <v>73</v>
      </c>
    </row>
    <row r="20" spans="1:19" ht="39.950000000000003" customHeight="1" x14ac:dyDescent="0.25">
      <c r="B20" s="859">
        <v>39051</v>
      </c>
      <c r="C20" s="558" t="s">
        <v>2349</v>
      </c>
      <c r="D20" s="558"/>
      <c r="E20" s="565" t="s">
        <v>81</v>
      </c>
      <c r="F20" s="548" t="s">
        <v>188</v>
      </c>
      <c r="G20" s="559" t="s">
        <v>187</v>
      </c>
      <c r="H20" s="548" t="s">
        <v>28</v>
      </c>
      <c r="I20" s="548" t="s">
        <v>67</v>
      </c>
      <c r="J20" s="548" t="s">
        <v>68</v>
      </c>
      <c r="K20" s="560">
        <v>4501.6000000000004</v>
      </c>
      <c r="L20" s="561">
        <v>33.33</v>
      </c>
      <c r="M20" s="552">
        <f t="shared" si="0"/>
        <v>135.06150615061509</v>
      </c>
      <c r="N20" s="562">
        <v>60</v>
      </c>
      <c r="O20" s="563">
        <f t="shared" si="1"/>
        <v>75.026666666666671</v>
      </c>
      <c r="P20" s="564">
        <f t="shared" ca="1" si="2"/>
        <v>227</v>
      </c>
      <c r="Q20" s="552">
        <f t="shared" ca="1" si="3"/>
        <v>-12529.453333333333</v>
      </c>
      <c r="R20" s="563">
        <f t="shared" ca="1" si="4"/>
        <v>1</v>
      </c>
      <c r="S20" s="565" t="s">
        <v>20</v>
      </c>
    </row>
    <row r="21" spans="1:19" ht="63.75" customHeight="1" x14ac:dyDescent="0.25">
      <c r="B21" s="859">
        <v>39051</v>
      </c>
      <c r="C21" s="558" t="s">
        <v>2349</v>
      </c>
      <c r="D21" s="558"/>
      <c r="E21" s="565" t="s">
        <v>81</v>
      </c>
      <c r="F21" s="548" t="s">
        <v>189</v>
      </c>
      <c r="G21" s="559" t="s">
        <v>187</v>
      </c>
      <c r="H21" s="548" t="s">
        <v>28</v>
      </c>
      <c r="I21" s="548" t="s">
        <v>190</v>
      </c>
      <c r="J21" s="548" t="s">
        <v>68</v>
      </c>
      <c r="K21" s="560">
        <v>4501.6000000000004</v>
      </c>
      <c r="L21" s="561">
        <v>33.33</v>
      </c>
      <c r="M21" s="552">
        <f t="shared" si="0"/>
        <v>135.06150615061509</v>
      </c>
      <c r="N21" s="562">
        <v>60</v>
      </c>
      <c r="O21" s="563">
        <f t="shared" si="1"/>
        <v>75.026666666666671</v>
      </c>
      <c r="P21" s="564">
        <f t="shared" ca="1" si="2"/>
        <v>227</v>
      </c>
      <c r="Q21" s="552">
        <f t="shared" ca="1" si="3"/>
        <v>-12529.453333333333</v>
      </c>
      <c r="R21" s="563">
        <f t="shared" ca="1" si="4"/>
        <v>1</v>
      </c>
      <c r="S21" s="565" t="s">
        <v>20</v>
      </c>
    </row>
    <row r="22" spans="1:19" ht="71.25" customHeight="1" x14ac:dyDescent="0.25">
      <c r="B22" s="859">
        <v>39051</v>
      </c>
      <c r="C22" s="558" t="s">
        <v>2349</v>
      </c>
      <c r="D22" s="558"/>
      <c r="E22" s="565" t="s">
        <v>81</v>
      </c>
      <c r="F22" s="548" t="s">
        <v>142</v>
      </c>
      <c r="G22" s="559" t="s">
        <v>143</v>
      </c>
      <c r="H22" s="548" t="s">
        <v>28</v>
      </c>
      <c r="I22" s="548" t="s">
        <v>67</v>
      </c>
      <c r="J22" s="548" t="s">
        <v>68</v>
      </c>
      <c r="K22" s="560">
        <v>921.6</v>
      </c>
      <c r="L22" s="561">
        <v>33.33</v>
      </c>
      <c r="M22" s="552">
        <f t="shared" si="0"/>
        <v>27.650765076507653</v>
      </c>
      <c r="N22" s="562">
        <v>60</v>
      </c>
      <c r="O22" s="563">
        <f t="shared" si="1"/>
        <v>15.360000000000001</v>
      </c>
      <c r="P22" s="564">
        <f t="shared" ca="1" si="2"/>
        <v>227</v>
      </c>
      <c r="Q22" s="552">
        <f t="shared" ca="1" si="3"/>
        <v>-2565.1200000000003</v>
      </c>
      <c r="R22" s="563">
        <f t="shared" ca="1" si="4"/>
        <v>1</v>
      </c>
      <c r="S22" s="565" t="s">
        <v>20</v>
      </c>
    </row>
    <row r="23" spans="1:19" ht="65.25" customHeight="1" x14ac:dyDescent="0.25">
      <c r="B23" s="859">
        <v>39051</v>
      </c>
      <c r="C23" s="558" t="s">
        <v>2349</v>
      </c>
      <c r="D23" s="558"/>
      <c r="E23" s="565" t="s">
        <v>81</v>
      </c>
      <c r="F23" s="548" t="s">
        <v>144</v>
      </c>
      <c r="G23" s="559" t="s">
        <v>143</v>
      </c>
      <c r="H23" s="548" t="s">
        <v>28</v>
      </c>
      <c r="I23" s="548" t="s">
        <v>67</v>
      </c>
      <c r="J23" s="548" t="s">
        <v>68</v>
      </c>
      <c r="K23" s="560">
        <v>921.6</v>
      </c>
      <c r="L23" s="561">
        <v>33.33</v>
      </c>
      <c r="M23" s="552">
        <f t="shared" si="0"/>
        <v>27.650765076507653</v>
      </c>
      <c r="N23" s="562">
        <v>60</v>
      </c>
      <c r="O23" s="563">
        <f t="shared" si="1"/>
        <v>15.360000000000001</v>
      </c>
      <c r="P23" s="564">
        <f t="shared" ca="1" si="2"/>
        <v>227</v>
      </c>
      <c r="Q23" s="552">
        <f t="shared" ca="1" si="3"/>
        <v>-2565.1200000000003</v>
      </c>
      <c r="R23" s="563">
        <f t="shared" ca="1" si="4"/>
        <v>1</v>
      </c>
      <c r="S23" s="565" t="s">
        <v>20</v>
      </c>
    </row>
    <row r="24" spans="1:19" ht="39.950000000000003" customHeight="1" x14ac:dyDescent="0.25">
      <c r="B24" s="859">
        <v>39051</v>
      </c>
      <c r="C24" s="558" t="s">
        <v>2349</v>
      </c>
      <c r="D24" s="558"/>
      <c r="E24" s="565" t="s">
        <v>81</v>
      </c>
      <c r="F24" s="548" t="s">
        <v>145</v>
      </c>
      <c r="G24" s="559" t="s">
        <v>143</v>
      </c>
      <c r="H24" s="548" t="s">
        <v>28</v>
      </c>
      <c r="I24" s="548" t="s">
        <v>67</v>
      </c>
      <c r="J24" s="548" t="s">
        <v>68</v>
      </c>
      <c r="K24" s="560">
        <v>921.6</v>
      </c>
      <c r="L24" s="561">
        <v>33.33</v>
      </c>
      <c r="M24" s="552">
        <f t="shared" si="0"/>
        <v>27.650765076507653</v>
      </c>
      <c r="N24" s="562">
        <v>60</v>
      </c>
      <c r="O24" s="563">
        <f t="shared" si="1"/>
        <v>15.360000000000001</v>
      </c>
      <c r="P24" s="564">
        <f t="shared" ca="1" si="2"/>
        <v>227</v>
      </c>
      <c r="Q24" s="552">
        <f t="shared" ca="1" si="3"/>
        <v>-2565.1200000000003</v>
      </c>
      <c r="R24" s="563">
        <f t="shared" ca="1" si="4"/>
        <v>1</v>
      </c>
      <c r="S24" s="565" t="s">
        <v>20</v>
      </c>
    </row>
    <row r="25" spans="1:19" ht="63.75" customHeight="1" x14ac:dyDescent="0.25">
      <c r="B25" s="859">
        <v>39051</v>
      </c>
      <c r="C25" s="558" t="s">
        <v>2349</v>
      </c>
      <c r="D25" s="558"/>
      <c r="E25" s="565" t="s">
        <v>81</v>
      </c>
      <c r="F25" s="548" t="s">
        <v>146</v>
      </c>
      <c r="G25" s="559" t="s">
        <v>143</v>
      </c>
      <c r="H25" s="548" t="s">
        <v>28</v>
      </c>
      <c r="I25" s="548" t="s">
        <v>67</v>
      </c>
      <c r="J25" s="548" t="s">
        <v>68</v>
      </c>
      <c r="K25" s="560">
        <v>921.6</v>
      </c>
      <c r="L25" s="561">
        <v>33.33</v>
      </c>
      <c r="M25" s="552">
        <f t="shared" si="0"/>
        <v>27.650765076507653</v>
      </c>
      <c r="N25" s="562">
        <v>60</v>
      </c>
      <c r="O25" s="563">
        <f t="shared" si="1"/>
        <v>15.360000000000001</v>
      </c>
      <c r="P25" s="564">
        <f t="shared" ca="1" si="2"/>
        <v>227</v>
      </c>
      <c r="Q25" s="552">
        <f t="shared" ca="1" si="3"/>
        <v>-2565.1200000000003</v>
      </c>
      <c r="R25" s="563">
        <f t="shared" ca="1" si="4"/>
        <v>1</v>
      </c>
      <c r="S25" s="565" t="s">
        <v>20</v>
      </c>
    </row>
    <row r="26" spans="1:19" ht="44.25" customHeight="1" x14ac:dyDescent="0.25">
      <c r="B26" s="859">
        <v>39051</v>
      </c>
      <c r="C26" s="558" t="s">
        <v>2349</v>
      </c>
      <c r="D26" s="558"/>
      <c r="E26" s="565" t="s">
        <v>81</v>
      </c>
      <c r="F26" s="548" t="s">
        <v>147</v>
      </c>
      <c r="G26" s="559" t="s">
        <v>143</v>
      </c>
      <c r="H26" s="548" t="s">
        <v>28</v>
      </c>
      <c r="I26" s="548" t="s">
        <v>67</v>
      </c>
      <c r="J26" s="548" t="s">
        <v>68</v>
      </c>
      <c r="K26" s="560">
        <v>921.6</v>
      </c>
      <c r="L26" s="561">
        <v>33.33</v>
      </c>
      <c r="M26" s="552">
        <f t="shared" si="0"/>
        <v>27.650765076507653</v>
      </c>
      <c r="N26" s="562">
        <v>60</v>
      </c>
      <c r="O26" s="563">
        <f t="shared" si="1"/>
        <v>15.360000000000001</v>
      </c>
      <c r="P26" s="564">
        <f t="shared" ca="1" si="2"/>
        <v>227</v>
      </c>
      <c r="Q26" s="552">
        <f t="shared" ca="1" si="3"/>
        <v>-2565.1200000000003</v>
      </c>
      <c r="R26" s="563">
        <f t="shared" ca="1" si="4"/>
        <v>1</v>
      </c>
      <c r="S26" s="565" t="s">
        <v>20</v>
      </c>
    </row>
    <row r="27" spans="1:19" ht="42.75" customHeight="1" x14ac:dyDescent="0.25">
      <c r="B27" s="859">
        <v>39051</v>
      </c>
      <c r="C27" s="558" t="s">
        <v>2349</v>
      </c>
      <c r="D27" s="558"/>
      <c r="E27" s="565" t="s">
        <v>81</v>
      </c>
      <c r="F27" s="548" t="s">
        <v>148</v>
      </c>
      <c r="G27" s="559" t="s">
        <v>143</v>
      </c>
      <c r="H27" s="548" t="s">
        <v>28</v>
      </c>
      <c r="I27" s="548" t="s">
        <v>67</v>
      </c>
      <c r="J27" s="548" t="s">
        <v>68</v>
      </c>
      <c r="K27" s="560">
        <v>921.6</v>
      </c>
      <c r="L27" s="561">
        <v>33.33</v>
      </c>
      <c r="M27" s="552">
        <f t="shared" si="0"/>
        <v>27.650765076507653</v>
      </c>
      <c r="N27" s="562">
        <v>60</v>
      </c>
      <c r="O27" s="563">
        <f t="shared" si="1"/>
        <v>15.360000000000001</v>
      </c>
      <c r="P27" s="564">
        <f t="shared" ca="1" si="2"/>
        <v>227</v>
      </c>
      <c r="Q27" s="552">
        <f t="shared" ca="1" si="3"/>
        <v>-2565.1200000000003</v>
      </c>
      <c r="R27" s="563">
        <f t="shared" ca="1" si="4"/>
        <v>1</v>
      </c>
      <c r="S27" s="565" t="s">
        <v>20</v>
      </c>
    </row>
    <row r="28" spans="1:19" ht="39.950000000000003" customHeight="1" x14ac:dyDescent="0.25">
      <c r="B28" s="859">
        <v>39051</v>
      </c>
      <c r="C28" s="558" t="s">
        <v>2349</v>
      </c>
      <c r="D28" s="558"/>
      <c r="E28" s="565" t="s">
        <v>81</v>
      </c>
      <c r="F28" s="548" t="s">
        <v>149</v>
      </c>
      <c r="G28" s="559" t="s">
        <v>143</v>
      </c>
      <c r="H28" s="548" t="s">
        <v>28</v>
      </c>
      <c r="I28" s="548" t="s">
        <v>67</v>
      </c>
      <c r="J28" s="548" t="s">
        <v>68</v>
      </c>
      <c r="K28" s="560">
        <v>921.6</v>
      </c>
      <c r="L28" s="561">
        <v>33.33</v>
      </c>
      <c r="M28" s="552">
        <f t="shared" si="0"/>
        <v>27.650765076507653</v>
      </c>
      <c r="N28" s="562">
        <v>60</v>
      </c>
      <c r="O28" s="563">
        <f t="shared" si="1"/>
        <v>15.360000000000001</v>
      </c>
      <c r="P28" s="564">
        <f t="shared" ca="1" si="2"/>
        <v>227</v>
      </c>
      <c r="Q28" s="552">
        <f t="shared" ca="1" si="3"/>
        <v>-2565.1200000000003</v>
      </c>
      <c r="R28" s="563">
        <f t="shared" ca="1" si="4"/>
        <v>1</v>
      </c>
      <c r="S28" s="565" t="s">
        <v>20</v>
      </c>
    </row>
    <row r="29" spans="1:19" ht="69" customHeight="1" x14ac:dyDescent="0.25">
      <c r="B29" s="859">
        <v>39051</v>
      </c>
      <c r="C29" s="558" t="s">
        <v>2349</v>
      </c>
      <c r="D29" s="558"/>
      <c r="E29" s="565" t="s">
        <v>81</v>
      </c>
      <c r="F29" s="548" t="s">
        <v>150</v>
      </c>
      <c r="G29" s="559" t="s">
        <v>143</v>
      </c>
      <c r="H29" s="548" t="s">
        <v>28</v>
      </c>
      <c r="I29" s="548" t="s">
        <v>67</v>
      </c>
      <c r="J29" s="548" t="s">
        <v>68</v>
      </c>
      <c r="K29" s="560">
        <v>921.6</v>
      </c>
      <c r="L29" s="561">
        <v>33.33</v>
      </c>
      <c r="M29" s="552">
        <f t="shared" si="0"/>
        <v>27.650765076507653</v>
      </c>
      <c r="N29" s="562">
        <v>60</v>
      </c>
      <c r="O29" s="563">
        <f t="shared" si="1"/>
        <v>15.360000000000001</v>
      </c>
      <c r="P29" s="564">
        <f t="shared" ca="1" si="2"/>
        <v>227</v>
      </c>
      <c r="Q29" s="552">
        <f t="shared" ca="1" si="3"/>
        <v>-2565.1200000000003</v>
      </c>
      <c r="R29" s="563">
        <f t="shared" ca="1" si="4"/>
        <v>1</v>
      </c>
      <c r="S29" s="565" t="s">
        <v>20</v>
      </c>
    </row>
    <row r="30" spans="1:19" ht="63.75" customHeight="1" x14ac:dyDescent="0.25">
      <c r="B30" s="859">
        <v>39051</v>
      </c>
      <c r="C30" s="558" t="s">
        <v>2349</v>
      </c>
      <c r="D30" s="558"/>
      <c r="E30" s="565" t="s">
        <v>81</v>
      </c>
      <c r="F30" s="548" t="s">
        <v>151</v>
      </c>
      <c r="G30" s="559" t="s">
        <v>143</v>
      </c>
      <c r="H30" s="548" t="s">
        <v>28</v>
      </c>
      <c r="I30" s="548" t="s">
        <v>67</v>
      </c>
      <c r="J30" s="548" t="s">
        <v>68</v>
      </c>
      <c r="K30" s="560">
        <v>921.6</v>
      </c>
      <c r="L30" s="561">
        <v>33.33</v>
      </c>
      <c r="M30" s="552">
        <f t="shared" si="0"/>
        <v>27.650765076507653</v>
      </c>
      <c r="N30" s="562">
        <v>60</v>
      </c>
      <c r="O30" s="563">
        <f t="shared" si="1"/>
        <v>15.360000000000001</v>
      </c>
      <c r="P30" s="564">
        <f t="shared" ca="1" si="2"/>
        <v>227</v>
      </c>
      <c r="Q30" s="552">
        <f t="shared" ca="1" si="3"/>
        <v>-2565.1200000000003</v>
      </c>
      <c r="R30" s="563">
        <f t="shared" ca="1" si="4"/>
        <v>1</v>
      </c>
      <c r="S30" s="565" t="s">
        <v>20</v>
      </c>
    </row>
    <row r="31" spans="1:19" ht="61.5" customHeight="1" x14ac:dyDescent="0.25">
      <c r="B31" s="859">
        <v>39051</v>
      </c>
      <c r="C31" s="558" t="s">
        <v>2349</v>
      </c>
      <c r="D31" s="558"/>
      <c r="E31" s="565" t="s">
        <v>81</v>
      </c>
      <c r="F31" s="548" t="s">
        <v>152</v>
      </c>
      <c r="G31" s="559" t="s">
        <v>143</v>
      </c>
      <c r="H31" s="548" t="s">
        <v>28</v>
      </c>
      <c r="I31" s="548" t="s">
        <v>67</v>
      </c>
      <c r="J31" s="548" t="s">
        <v>68</v>
      </c>
      <c r="K31" s="560">
        <v>921.6</v>
      </c>
      <c r="L31" s="561">
        <v>33.33</v>
      </c>
      <c r="M31" s="552">
        <f t="shared" si="0"/>
        <v>27.650765076507653</v>
      </c>
      <c r="N31" s="562">
        <v>60</v>
      </c>
      <c r="O31" s="563">
        <f t="shared" si="1"/>
        <v>15.360000000000001</v>
      </c>
      <c r="P31" s="564">
        <f t="shared" ca="1" si="2"/>
        <v>227</v>
      </c>
      <c r="Q31" s="552">
        <f t="shared" ca="1" si="3"/>
        <v>-2565.1200000000003</v>
      </c>
      <c r="R31" s="563">
        <f t="shared" ca="1" si="4"/>
        <v>1</v>
      </c>
      <c r="S31" s="565" t="s">
        <v>20</v>
      </c>
    </row>
    <row r="32" spans="1:19" ht="69.75" customHeight="1" x14ac:dyDescent="0.25">
      <c r="B32" s="859">
        <v>39051</v>
      </c>
      <c r="C32" s="558" t="s">
        <v>2349</v>
      </c>
      <c r="D32" s="558"/>
      <c r="E32" s="565" t="s">
        <v>81</v>
      </c>
      <c r="F32" s="548" t="s">
        <v>153</v>
      </c>
      <c r="G32" s="559" t="s">
        <v>143</v>
      </c>
      <c r="H32" s="548" t="s">
        <v>28</v>
      </c>
      <c r="I32" s="548" t="s">
        <v>67</v>
      </c>
      <c r="J32" s="548" t="s">
        <v>68</v>
      </c>
      <c r="K32" s="560">
        <v>921.6</v>
      </c>
      <c r="L32" s="561">
        <v>33.33</v>
      </c>
      <c r="M32" s="552">
        <f t="shared" si="0"/>
        <v>27.650765076507653</v>
      </c>
      <c r="N32" s="562">
        <v>60</v>
      </c>
      <c r="O32" s="563">
        <f t="shared" si="1"/>
        <v>15.360000000000001</v>
      </c>
      <c r="P32" s="564">
        <f t="shared" ca="1" si="2"/>
        <v>227</v>
      </c>
      <c r="Q32" s="552">
        <f t="shared" ca="1" si="3"/>
        <v>-2565.1200000000003</v>
      </c>
      <c r="R32" s="563">
        <f t="shared" ca="1" si="4"/>
        <v>1</v>
      </c>
      <c r="S32" s="565" t="s">
        <v>20</v>
      </c>
    </row>
    <row r="33" spans="2:19" ht="68.25" customHeight="1" x14ac:dyDescent="0.25">
      <c r="B33" s="859">
        <v>39051</v>
      </c>
      <c r="C33" s="558" t="s">
        <v>2349</v>
      </c>
      <c r="D33" s="558"/>
      <c r="E33" s="565" t="s">
        <v>81</v>
      </c>
      <c r="F33" s="548" t="s">
        <v>154</v>
      </c>
      <c r="G33" s="559" t="s">
        <v>143</v>
      </c>
      <c r="H33" s="548" t="s">
        <v>28</v>
      </c>
      <c r="I33" s="548" t="s">
        <v>67</v>
      </c>
      <c r="J33" s="548" t="s">
        <v>68</v>
      </c>
      <c r="K33" s="560">
        <v>921.6</v>
      </c>
      <c r="L33" s="561">
        <v>33.33</v>
      </c>
      <c r="M33" s="552">
        <f t="shared" si="0"/>
        <v>27.650765076507653</v>
      </c>
      <c r="N33" s="562">
        <v>60</v>
      </c>
      <c r="O33" s="563">
        <f t="shared" si="1"/>
        <v>15.360000000000001</v>
      </c>
      <c r="P33" s="564">
        <f t="shared" ca="1" si="2"/>
        <v>227</v>
      </c>
      <c r="Q33" s="552">
        <f t="shared" ca="1" si="3"/>
        <v>-2565.1200000000003</v>
      </c>
      <c r="R33" s="563">
        <f t="shared" ca="1" si="4"/>
        <v>1</v>
      </c>
      <c r="S33" s="565" t="s">
        <v>20</v>
      </c>
    </row>
    <row r="34" spans="2:19" ht="66.75" customHeight="1" x14ac:dyDescent="0.25">
      <c r="B34" s="859">
        <v>39051</v>
      </c>
      <c r="C34" s="558" t="s">
        <v>2349</v>
      </c>
      <c r="D34" s="558"/>
      <c r="E34" s="565" t="s">
        <v>81</v>
      </c>
      <c r="F34" s="548" t="s">
        <v>155</v>
      </c>
      <c r="G34" s="559" t="s">
        <v>143</v>
      </c>
      <c r="H34" s="548" t="s">
        <v>28</v>
      </c>
      <c r="I34" s="548" t="s">
        <v>67</v>
      </c>
      <c r="J34" s="548" t="s">
        <v>68</v>
      </c>
      <c r="K34" s="560">
        <v>921.6</v>
      </c>
      <c r="L34" s="561">
        <v>33.33</v>
      </c>
      <c r="M34" s="552">
        <f t="shared" si="0"/>
        <v>27.650765076507653</v>
      </c>
      <c r="N34" s="562">
        <v>60</v>
      </c>
      <c r="O34" s="563">
        <f t="shared" si="1"/>
        <v>15.360000000000001</v>
      </c>
      <c r="P34" s="564">
        <f t="shared" ca="1" si="2"/>
        <v>227</v>
      </c>
      <c r="Q34" s="552">
        <f t="shared" ca="1" si="3"/>
        <v>-2565.1200000000003</v>
      </c>
      <c r="R34" s="563">
        <f t="shared" ca="1" si="4"/>
        <v>1</v>
      </c>
      <c r="S34" s="565" t="s">
        <v>20</v>
      </c>
    </row>
    <row r="35" spans="2:19" ht="63.75" customHeight="1" x14ac:dyDescent="0.25">
      <c r="B35" s="859">
        <v>39051</v>
      </c>
      <c r="C35" s="558" t="s">
        <v>2349</v>
      </c>
      <c r="D35" s="558"/>
      <c r="E35" s="565" t="s">
        <v>81</v>
      </c>
      <c r="F35" s="548" t="s">
        <v>156</v>
      </c>
      <c r="G35" s="559" t="s">
        <v>143</v>
      </c>
      <c r="H35" s="548" t="s">
        <v>28</v>
      </c>
      <c r="I35" s="548" t="s">
        <v>67</v>
      </c>
      <c r="J35" s="548" t="s">
        <v>68</v>
      </c>
      <c r="K35" s="560">
        <v>921.6</v>
      </c>
      <c r="L35" s="561">
        <v>33.33</v>
      </c>
      <c r="M35" s="552">
        <f t="shared" si="0"/>
        <v>27.650765076507653</v>
      </c>
      <c r="N35" s="562">
        <v>60</v>
      </c>
      <c r="O35" s="563">
        <f t="shared" si="1"/>
        <v>15.360000000000001</v>
      </c>
      <c r="P35" s="564">
        <f t="shared" ca="1" si="2"/>
        <v>227</v>
      </c>
      <c r="Q35" s="552">
        <f t="shared" ca="1" si="3"/>
        <v>-2565.1200000000003</v>
      </c>
      <c r="R35" s="563">
        <f t="shared" ca="1" si="4"/>
        <v>1</v>
      </c>
      <c r="S35" s="565" t="s">
        <v>20</v>
      </c>
    </row>
    <row r="36" spans="2:19" ht="68.25" customHeight="1" x14ac:dyDescent="0.25">
      <c r="B36" s="859">
        <v>39051</v>
      </c>
      <c r="C36" s="558" t="s">
        <v>2349</v>
      </c>
      <c r="D36" s="558"/>
      <c r="E36" s="565" t="s">
        <v>81</v>
      </c>
      <c r="F36" s="548" t="s">
        <v>157</v>
      </c>
      <c r="G36" s="559" t="s">
        <v>143</v>
      </c>
      <c r="H36" s="548" t="s">
        <v>28</v>
      </c>
      <c r="I36" s="548" t="s">
        <v>67</v>
      </c>
      <c r="J36" s="548" t="s">
        <v>68</v>
      </c>
      <c r="K36" s="560">
        <v>921.6</v>
      </c>
      <c r="L36" s="561">
        <v>33.33</v>
      </c>
      <c r="M36" s="552">
        <f t="shared" si="0"/>
        <v>27.650765076507653</v>
      </c>
      <c r="N36" s="562">
        <v>60</v>
      </c>
      <c r="O36" s="563">
        <f t="shared" si="1"/>
        <v>15.360000000000001</v>
      </c>
      <c r="P36" s="564">
        <f t="shared" ca="1" si="2"/>
        <v>227</v>
      </c>
      <c r="Q36" s="552">
        <f t="shared" ca="1" si="3"/>
        <v>-2565.1200000000003</v>
      </c>
      <c r="R36" s="563">
        <f t="shared" ca="1" si="4"/>
        <v>1</v>
      </c>
      <c r="S36" s="565" t="s">
        <v>20</v>
      </c>
    </row>
    <row r="37" spans="2:19" ht="64.5" customHeight="1" x14ac:dyDescent="0.25">
      <c r="B37" s="859">
        <v>39051</v>
      </c>
      <c r="C37" s="558" t="s">
        <v>2349</v>
      </c>
      <c r="D37" s="558"/>
      <c r="E37" s="565" t="s">
        <v>81</v>
      </c>
      <c r="F37" s="548" t="s">
        <v>158</v>
      </c>
      <c r="G37" s="559" t="s">
        <v>143</v>
      </c>
      <c r="H37" s="548" t="s">
        <v>28</v>
      </c>
      <c r="I37" s="548" t="s">
        <v>67</v>
      </c>
      <c r="J37" s="548" t="s">
        <v>68</v>
      </c>
      <c r="K37" s="560">
        <v>921.6</v>
      </c>
      <c r="L37" s="561">
        <v>33.33</v>
      </c>
      <c r="M37" s="552">
        <f t="shared" si="0"/>
        <v>27.650765076507653</v>
      </c>
      <c r="N37" s="562">
        <v>60</v>
      </c>
      <c r="O37" s="563">
        <f t="shared" si="1"/>
        <v>15.360000000000001</v>
      </c>
      <c r="P37" s="564">
        <f t="shared" ca="1" si="2"/>
        <v>227</v>
      </c>
      <c r="Q37" s="552">
        <f t="shared" ca="1" si="3"/>
        <v>-2565.1200000000003</v>
      </c>
      <c r="R37" s="563">
        <f t="shared" ca="1" si="4"/>
        <v>1</v>
      </c>
      <c r="S37" s="565" t="s">
        <v>20</v>
      </c>
    </row>
    <row r="38" spans="2:19" ht="65.25" customHeight="1" x14ac:dyDescent="0.25">
      <c r="B38" s="859">
        <v>39051</v>
      </c>
      <c r="C38" s="558" t="s">
        <v>2349</v>
      </c>
      <c r="D38" s="558"/>
      <c r="E38" s="565" t="s">
        <v>81</v>
      </c>
      <c r="F38" s="548" t="s">
        <v>159</v>
      </c>
      <c r="G38" s="559" t="s">
        <v>143</v>
      </c>
      <c r="H38" s="548" t="s">
        <v>28</v>
      </c>
      <c r="I38" s="548" t="s">
        <v>67</v>
      </c>
      <c r="J38" s="548" t="s">
        <v>68</v>
      </c>
      <c r="K38" s="560">
        <v>921.6</v>
      </c>
      <c r="L38" s="561">
        <v>33.33</v>
      </c>
      <c r="M38" s="552">
        <f t="shared" si="0"/>
        <v>27.650765076507653</v>
      </c>
      <c r="N38" s="562">
        <v>60</v>
      </c>
      <c r="O38" s="563">
        <f t="shared" si="1"/>
        <v>15.360000000000001</v>
      </c>
      <c r="P38" s="564">
        <f t="shared" ca="1" si="2"/>
        <v>227</v>
      </c>
      <c r="Q38" s="552">
        <f t="shared" ca="1" si="3"/>
        <v>-2565.1200000000003</v>
      </c>
      <c r="R38" s="563">
        <f t="shared" ca="1" si="4"/>
        <v>1</v>
      </c>
      <c r="S38" s="565" t="s">
        <v>20</v>
      </c>
    </row>
    <row r="39" spans="2:19" ht="75" customHeight="1" x14ac:dyDescent="0.25">
      <c r="B39" s="859">
        <v>39051</v>
      </c>
      <c r="C39" s="558" t="s">
        <v>2349</v>
      </c>
      <c r="D39" s="558"/>
      <c r="E39" s="565" t="s">
        <v>81</v>
      </c>
      <c r="F39" s="548" t="s">
        <v>160</v>
      </c>
      <c r="G39" s="559" t="s">
        <v>143</v>
      </c>
      <c r="H39" s="548" t="s">
        <v>28</v>
      </c>
      <c r="I39" s="548" t="s">
        <v>67</v>
      </c>
      <c r="J39" s="548" t="s">
        <v>68</v>
      </c>
      <c r="K39" s="560">
        <v>921.6</v>
      </c>
      <c r="L39" s="561">
        <v>33.33</v>
      </c>
      <c r="M39" s="552">
        <f t="shared" si="0"/>
        <v>27.650765076507653</v>
      </c>
      <c r="N39" s="562">
        <v>60</v>
      </c>
      <c r="O39" s="563">
        <f t="shared" si="1"/>
        <v>15.360000000000001</v>
      </c>
      <c r="P39" s="564">
        <f t="shared" ca="1" si="2"/>
        <v>227</v>
      </c>
      <c r="Q39" s="552">
        <f t="shared" ca="1" si="3"/>
        <v>-2565.1200000000003</v>
      </c>
      <c r="R39" s="563">
        <f t="shared" ca="1" si="4"/>
        <v>1</v>
      </c>
      <c r="S39" s="565" t="s">
        <v>20</v>
      </c>
    </row>
    <row r="40" spans="2:19" ht="79.5" customHeight="1" x14ac:dyDescent="0.25">
      <c r="B40" s="859">
        <v>39051</v>
      </c>
      <c r="C40" s="558" t="s">
        <v>2349</v>
      </c>
      <c r="D40" s="558"/>
      <c r="E40" s="565" t="s">
        <v>81</v>
      </c>
      <c r="F40" s="548" t="s">
        <v>161</v>
      </c>
      <c r="G40" s="559" t="s">
        <v>143</v>
      </c>
      <c r="H40" s="548" t="s">
        <v>28</v>
      </c>
      <c r="I40" s="548" t="s">
        <v>67</v>
      </c>
      <c r="J40" s="548" t="s">
        <v>68</v>
      </c>
      <c r="K40" s="560">
        <v>921.6</v>
      </c>
      <c r="L40" s="561">
        <v>33.33</v>
      </c>
      <c r="M40" s="552">
        <f t="shared" si="0"/>
        <v>27.650765076507653</v>
      </c>
      <c r="N40" s="562">
        <v>60</v>
      </c>
      <c r="O40" s="563">
        <f t="shared" si="1"/>
        <v>15.360000000000001</v>
      </c>
      <c r="P40" s="564">
        <f t="shared" ca="1" si="2"/>
        <v>227</v>
      </c>
      <c r="Q40" s="552">
        <f t="shared" ca="1" si="3"/>
        <v>-2565.1200000000003</v>
      </c>
      <c r="R40" s="563">
        <f t="shared" ca="1" si="4"/>
        <v>1</v>
      </c>
      <c r="S40" s="565" t="s">
        <v>20</v>
      </c>
    </row>
    <row r="41" spans="2:19" ht="57" customHeight="1" x14ac:dyDescent="0.25">
      <c r="B41" s="859">
        <v>39051</v>
      </c>
      <c r="C41" s="558" t="s">
        <v>2349</v>
      </c>
      <c r="D41" s="558"/>
      <c r="E41" s="565" t="s">
        <v>81</v>
      </c>
      <c r="F41" s="548" t="s">
        <v>162</v>
      </c>
      <c r="G41" s="559" t="s">
        <v>143</v>
      </c>
      <c r="H41" s="548" t="s">
        <v>28</v>
      </c>
      <c r="I41" s="548" t="s">
        <v>67</v>
      </c>
      <c r="J41" s="548" t="s">
        <v>68</v>
      </c>
      <c r="K41" s="560">
        <v>921.6</v>
      </c>
      <c r="L41" s="561">
        <v>33.33</v>
      </c>
      <c r="M41" s="552">
        <f t="shared" si="0"/>
        <v>27.650765076507653</v>
      </c>
      <c r="N41" s="562">
        <v>60</v>
      </c>
      <c r="O41" s="563">
        <f t="shared" si="1"/>
        <v>15.360000000000001</v>
      </c>
      <c r="P41" s="564">
        <f t="shared" ca="1" si="2"/>
        <v>227</v>
      </c>
      <c r="Q41" s="552">
        <f t="shared" ca="1" si="3"/>
        <v>-2565.1200000000003</v>
      </c>
      <c r="R41" s="563">
        <f t="shared" ca="1" si="4"/>
        <v>1</v>
      </c>
      <c r="S41" s="565" t="s">
        <v>20</v>
      </c>
    </row>
    <row r="42" spans="2:19" ht="51.75" customHeight="1" x14ac:dyDescent="0.25">
      <c r="B42" s="859">
        <v>39051</v>
      </c>
      <c r="C42" s="558" t="s">
        <v>2349</v>
      </c>
      <c r="D42" s="558"/>
      <c r="E42" s="565" t="s">
        <v>81</v>
      </c>
      <c r="F42" s="548" t="s">
        <v>163</v>
      </c>
      <c r="G42" s="559" t="s">
        <v>143</v>
      </c>
      <c r="H42" s="548" t="s">
        <v>28</v>
      </c>
      <c r="I42" s="548" t="s">
        <v>67</v>
      </c>
      <c r="J42" s="548" t="s">
        <v>68</v>
      </c>
      <c r="K42" s="560">
        <v>921.6</v>
      </c>
      <c r="L42" s="561">
        <v>33.33</v>
      </c>
      <c r="M42" s="552">
        <f t="shared" si="0"/>
        <v>27.650765076507653</v>
      </c>
      <c r="N42" s="562">
        <v>60</v>
      </c>
      <c r="O42" s="563">
        <f t="shared" si="1"/>
        <v>15.360000000000001</v>
      </c>
      <c r="P42" s="564">
        <f t="shared" ca="1" si="2"/>
        <v>227</v>
      </c>
      <c r="Q42" s="552">
        <f t="shared" ca="1" si="3"/>
        <v>-2565.1200000000003</v>
      </c>
      <c r="R42" s="563">
        <f t="shared" ca="1" si="4"/>
        <v>1</v>
      </c>
      <c r="S42" s="565" t="s">
        <v>20</v>
      </c>
    </row>
    <row r="43" spans="2:19" ht="55.5" customHeight="1" x14ac:dyDescent="0.25">
      <c r="B43" s="859">
        <v>39051</v>
      </c>
      <c r="C43" s="558" t="s">
        <v>2349</v>
      </c>
      <c r="D43" s="558"/>
      <c r="E43" s="565" t="s">
        <v>81</v>
      </c>
      <c r="F43" s="548" t="s">
        <v>164</v>
      </c>
      <c r="G43" s="559" t="s">
        <v>143</v>
      </c>
      <c r="H43" s="548" t="s">
        <v>28</v>
      </c>
      <c r="I43" s="548" t="s">
        <v>67</v>
      </c>
      <c r="J43" s="548" t="s">
        <v>68</v>
      </c>
      <c r="K43" s="560">
        <v>921.6</v>
      </c>
      <c r="L43" s="561">
        <v>33.33</v>
      </c>
      <c r="M43" s="552">
        <f t="shared" si="0"/>
        <v>27.650765076507653</v>
      </c>
      <c r="N43" s="562">
        <v>60</v>
      </c>
      <c r="O43" s="563">
        <f t="shared" si="1"/>
        <v>15.360000000000001</v>
      </c>
      <c r="P43" s="564">
        <f t="shared" ca="1" si="2"/>
        <v>227</v>
      </c>
      <c r="Q43" s="552">
        <f t="shared" ca="1" si="3"/>
        <v>-2565.1200000000003</v>
      </c>
      <c r="R43" s="563">
        <f t="shared" ca="1" si="4"/>
        <v>1</v>
      </c>
      <c r="S43" s="565" t="s">
        <v>20</v>
      </c>
    </row>
    <row r="44" spans="2:19" ht="57" customHeight="1" x14ac:dyDescent="0.25">
      <c r="B44" s="859">
        <v>39051</v>
      </c>
      <c r="C44" s="558" t="s">
        <v>2349</v>
      </c>
      <c r="D44" s="558"/>
      <c r="E44" s="565" t="s">
        <v>81</v>
      </c>
      <c r="F44" s="548" t="s">
        <v>165</v>
      </c>
      <c r="G44" s="559" t="s">
        <v>143</v>
      </c>
      <c r="H44" s="548" t="s">
        <v>28</v>
      </c>
      <c r="I44" s="548" t="s">
        <v>67</v>
      </c>
      <c r="J44" s="548" t="s">
        <v>68</v>
      </c>
      <c r="K44" s="560">
        <v>921.6</v>
      </c>
      <c r="L44" s="561">
        <v>33.33</v>
      </c>
      <c r="M44" s="552">
        <f t="shared" si="0"/>
        <v>27.650765076507653</v>
      </c>
      <c r="N44" s="562">
        <v>60</v>
      </c>
      <c r="O44" s="563">
        <f t="shared" si="1"/>
        <v>15.360000000000001</v>
      </c>
      <c r="P44" s="564">
        <f t="shared" ca="1" si="2"/>
        <v>227</v>
      </c>
      <c r="Q44" s="552">
        <f t="shared" ca="1" si="3"/>
        <v>-2565.1200000000003</v>
      </c>
      <c r="R44" s="563">
        <f t="shared" ca="1" si="4"/>
        <v>1</v>
      </c>
      <c r="S44" s="565" t="s">
        <v>20</v>
      </c>
    </row>
    <row r="45" spans="2:19" ht="51" customHeight="1" x14ac:dyDescent="0.25">
      <c r="B45" s="859">
        <v>39051</v>
      </c>
      <c r="C45" s="558" t="s">
        <v>2349</v>
      </c>
      <c r="D45" s="558"/>
      <c r="E45" s="565" t="s">
        <v>81</v>
      </c>
      <c r="F45" s="548" t="s">
        <v>166</v>
      </c>
      <c r="G45" s="559" t="s">
        <v>143</v>
      </c>
      <c r="H45" s="548" t="s">
        <v>28</v>
      </c>
      <c r="I45" s="548" t="s">
        <v>67</v>
      </c>
      <c r="J45" s="548" t="s">
        <v>68</v>
      </c>
      <c r="K45" s="560">
        <v>921.6</v>
      </c>
      <c r="L45" s="561">
        <v>33.33</v>
      </c>
      <c r="M45" s="552">
        <f t="shared" si="0"/>
        <v>27.650765076507653</v>
      </c>
      <c r="N45" s="562">
        <v>60</v>
      </c>
      <c r="O45" s="563">
        <f t="shared" si="1"/>
        <v>15.360000000000001</v>
      </c>
      <c r="P45" s="564">
        <f t="shared" ca="1" si="2"/>
        <v>227</v>
      </c>
      <c r="Q45" s="552">
        <f t="shared" ca="1" si="3"/>
        <v>-2565.1200000000003</v>
      </c>
      <c r="R45" s="563">
        <f t="shared" ca="1" si="4"/>
        <v>1</v>
      </c>
      <c r="S45" s="565" t="s">
        <v>20</v>
      </c>
    </row>
    <row r="46" spans="2:19" ht="81.75" customHeight="1" x14ac:dyDescent="0.25">
      <c r="B46" s="859">
        <v>39051</v>
      </c>
      <c r="C46" s="558" t="s">
        <v>2349</v>
      </c>
      <c r="D46" s="558"/>
      <c r="E46" s="565" t="s">
        <v>81</v>
      </c>
      <c r="F46" s="548" t="s">
        <v>167</v>
      </c>
      <c r="G46" s="559" t="s">
        <v>143</v>
      </c>
      <c r="H46" s="548" t="s">
        <v>28</v>
      </c>
      <c r="I46" s="548" t="s">
        <v>67</v>
      </c>
      <c r="J46" s="548" t="s">
        <v>68</v>
      </c>
      <c r="K46" s="560">
        <v>921.6</v>
      </c>
      <c r="L46" s="561">
        <v>33.33</v>
      </c>
      <c r="M46" s="552">
        <f t="shared" si="0"/>
        <v>27.650765076507653</v>
      </c>
      <c r="N46" s="562">
        <v>60</v>
      </c>
      <c r="O46" s="563">
        <f t="shared" si="1"/>
        <v>15.360000000000001</v>
      </c>
      <c r="P46" s="564">
        <f t="shared" ca="1" si="2"/>
        <v>227</v>
      </c>
      <c r="Q46" s="552">
        <f t="shared" ca="1" si="3"/>
        <v>-2565.1200000000003</v>
      </c>
      <c r="R46" s="563">
        <f t="shared" ca="1" si="4"/>
        <v>1</v>
      </c>
      <c r="S46" s="565" t="s">
        <v>20</v>
      </c>
    </row>
    <row r="47" spans="2:19" ht="72.75" customHeight="1" x14ac:dyDescent="0.25">
      <c r="B47" s="859">
        <v>39051</v>
      </c>
      <c r="C47" s="558" t="s">
        <v>2349</v>
      </c>
      <c r="D47" s="558"/>
      <c r="E47" s="565" t="s">
        <v>81</v>
      </c>
      <c r="F47" s="548" t="s">
        <v>168</v>
      </c>
      <c r="G47" s="559" t="s">
        <v>143</v>
      </c>
      <c r="H47" s="548" t="s">
        <v>28</v>
      </c>
      <c r="I47" s="548" t="s">
        <v>67</v>
      </c>
      <c r="J47" s="548" t="s">
        <v>68</v>
      </c>
      <c r="K47" s="560">
        <v>921.6</v>
      </c>
      <c r="L47" s="561">
        <v>33.33</v>
      </c>
      <c r="M47" s="552">
        <f t="shared" si="0"/>
        <v>27.650765076507653</v>
      </c>
      <c r="N47" s="562">
        <v>60</v>
      </c>
      <c r="O47" s="563">
        <f t="shared" si="1"/>
        <v>15.360000000000001</v>
      </c>
      <c r="P47" s="564">
        <f t="shared" ca="1" si="2"/>
        <v>227</v>
      </c>
      <c r="Q47" s="552">
        <f t="shared" ca="1" si="3"/>
        <v>-2565.1200000000003</v>
      </c>
      <c r="R47" s="563">
        <f t="shared" ca="1" si="4"/>
        <v>1</v>
      </c>
      <c r="S47" s="565" t="s">
        <v>20</v>
      </c>
    </row>
    <row r="48" spans="2:19" ht="58.5" customHeight="1" x14ac:dyDescent="0.25">
      <c r="B48" s="859">
        <v>39051</v>
      </c>
      <c r="C48" s="558" t="s">
        <v>2349</v>
      </c>
      <c r="D48" s="558"/>
      <c r="E48" s="565" t="s">
        <v>81</v>
      </c>
      <c r="F48" s="548" t="s">
        <v>169</v>
      </c>
      <c r="G48" s="559" t="s">
        <v>143</v>
      </c>
      <c r="H48" s="548" t="s">
        <v>28</v>
      </c>
      <c r="I48" s="548" t="s">
        <v>67</v>
      </c>
      <c r="J48" s="548" t="s">
        <v>68</v>
      </c>
      <c r="K48" s="560">
        <v>921.6</v>
      </c>
      <c r="L48" s="561">
        <v>33.33</v>
      </c>
      <c r="M48" s="552">
        <f t="shared" si="0"/>
        <v>27.650765076507653</v>
      </c>
      <c r="N48" s="562">
        <v>60</v>
      </c>
      <c r="O48" s="563">
        <f t="shared" si="1"/>
        <v>15.360000000000001</v>
      </c>
      <c r="P48" s="564">
        <f t="shared" ca="1" si="2"/>
        <v>227</v>
      </c>
      <c r="Q48" s="552">
        <f t="shared" ca="1" si="3"/>
        <v>-2565.1200000000003</v>
      </c>
      <c r="R48" s="563">
        <f t="shared" ca="1" si="4"/>
        <v>1</v>
      </c>
      <c r="S48" s="565" t="s">
        <v>20</v>
      </c>
    </row>
    <row r="49" spans="2:19" ht="57" customHeight="1" x14ac:dyDescent="0.25">
      <c r="B49" s="859">
        <v>39051</v>
      </c>
      <c r="C49" s="558" t="s">
        <v>2349</v>
      </c>
      <c r="D49" s="558"/>
      <c r="E49" s="565" t="s">
        <v>81</v>
      </c>
      <c r="F49" s="548" t="s">
        <v>170</v>
      </c>
      <c r="G49" s="559" t="s">
        <v>143</v>
      </c>
      <c r="H49" s="548" t="s">
        <v>28</v>
      </c>
      <c r="I49" s="548" t="s">
        <v>67</v>
      </c>
      <c r="J49" s="548" t="s">
        <v>68</v>
      </c>
      <c r="K49" s="560">
        <v>921.6</v>
      </c>
      <c r="L49" s="561">
        <v>33.33</v>
      </c>
      <c r="M49" s="552">
        <f t="shared" si="0"/>
        <v>27.650765076507653</v>
      </c>
      <c r="N49" s="562">
        <v>60</v>
      </c>
      <c r="O49" s="563">
        <f t="shared" si="1"/>
        <v>15.360000000000001</v>
      </c>
      <c r="P49" s="564">
        <f t="shared" ca="1" si="2"/>
        <v>227</v>
      </c>
      <c r="Q49" s="552">
        <f t="shared" ca="1" si="3"/>
        <v>-2565.1200000000003</v>
      </c>
      <c r="R49" s="563">
        <f t="shared" ca="1" si="4"/>
        <v>1</v>
      </c>
      <c r="S49" s="565" t="s">
        <v>20</v>
      </c>
    </row>
    <row r="50" spans="2:19" ht="62.25" customHeight="1" x14ac:dyDescent="0.25">
      <c r="B50" s="859">
        <v>39051</v>
      </c>
      <c r="C50" s="558" t="s">
        <v>2349</v>
      </c>
      <c r="D50" s="558"/>
      <c r="E50" s="565" t="s">
        <v>81</v>
      </c>
      <c r="F50" s="548" t="s">
        <v>171</v>
      </c>
      <c r="G50" s="559" t="s">
        <v>143</v>
      </c>
      <c r="H50" s="548" t="s">
        <v>28</v>
      </c>
      <c r="I50" s="548" t="s">
        <v>67</v>
      </c>
      <c r="J50" s="548" t="s">
        <v>68</v>
      </c>
      <c r="K50" s="560">
        <v>921.6</v>
      </c>
      <c r="L50" s="561">
        <v>33.33</v>
      </c>
      <c r="M50" s="552">
        <f t="shared" si="0"/>
        <v>27.650765076507653</v>
      </c>
      <c r="N50" s="562">
        <v>60</v>
      </c>
      <c r="O50" s="563">
        <f t="shared" si="1"/>
        <v>15.360000000000001</v>
      </c>
      <c r="P50" s="564">
        <f t="shared" ca="1" si="2"/>
        <v>227</v>
      </c>
      <c r="Q50" s="552">
        <f t="shared" ca="1" si="3"/>
        <v>-2565.1200000000003</v>
      </c>
      <c r="R50" s="563">
        <f t="shared" ca="1" si="4"/>
        <v>1</v>
      </c>
      <c r="S50" s="565" t="s">
        <v>20</v>
      </c>
    </row>
    <row r="51" spans="2:19" ht="57" customHeight="1" x14ac:dyDescent="0.25">
      <c r="B51" s="859">
        <v>39051</v>
      </c>
      <c r="C51" s="558" t="s">
        <v>2349</v>
      </c>
      <c r="D51" s="558"/>
      <c r="E51" s="565" t="s">
        <v>81</v>
      </c>
      <c r="F51" s="548" t="s">
        <v>172</v>
      </c>
      <c r="G51" s="559" t="s">
        <v>143</v>
      </c>
      <c r="H51" s="548" t="s">
        <v>28</v>
      </c>
      <c r="I51" s="548" t="s">
        <v>67</v>
      </c>
      <c r="J51" s="548" t="s">
        <v>68</v>
      </c>
      <c r="K51" s="560">
        <v>921.6</v>
      </c>
      <c r="L51" s="561">
        <v>33.33</v>
      </c>
      <c r="M51" s="552">
        <f t="shared" si="0"/>
        <v>27.650765076507653</v>
      </c>
      <c r="N51" s="562">
        <v>60</v>
      </c>
      <c r="O51" s="563">
        <f t="shared" si="1"/>
        <v>15.360000000000001</v>
      </c>
      <c r="P51" s="564">
        <f t="shared" ca="1" si="2"/>
        <v>227</v>
      </c>
      <c r="Q51" s="552">
        <f t="shared" ca="1" si="3"/>
        <v>-2565.1200000000003</v>
      </c>
      <c r="R51" s="563">
        <f t="shared" ca="1" si="4"/>
        <v>1</v>
      </c>
      <c r="S51" s="565" t="s">
        <v>20</v>
      </c>
    </row>
    <row r="52" spans="2:19" ht="39.950000000000003" customHeight="1" x14ac:dyDescent="0.25">
      <c r="B52" s="859">
        <v>39051</v>
      </c>
      <c r="C52" s="558" t="s">
        <v>2349</v>
      </c>
      <c r="D52" s="558"/>
      <c r="E52" s="565" t="s">
        <v>81</v>
      </c>
      <c r="F52" s="548" t="s">
        <v>173</v>
      </c>
      <c r="G52" s="559" t="s">
        <v>143</v>
      </c>
      <c r="H52" s="548" t="s">
        <v>28</v>
      </c>
      <c r="I52" s="548" t="s">
        <v>67</v>
      </c>
      <c r="J52" s="548" t="s">
        <v>68</v>
      </c>
      <c r="K52" s="560">
        <v>921.6</v>
      </c>
      <c r="L52" s="561">
        <v>33.33</v>
      </c>
      <c r="M52" s="552">
        <f t="shared" si="0"/>
        <v>27.650765076507653</v>
      </c>
      <c r="N52" s="562">
        <v>60</v>
      </c>
      <c r="O52" s="563">
        <f t="shared" si="1"/>
        <v>15.360000000000001</v>
      </c>
      <c r="P52" s="564">
        <f t="shared" ca="1" si="2"/>
        <v>227</v>
      </c>
      <c r="Q52" s="552">
        <f t="shared" ca="1" si="3"/>
        <v>-2565.1200000000003</v>
      </c>
      <c r="R52" s="563">
        <f t="shared" ca="1" si="4"/>
        <v>1</v>
      </c>
      <c r="S52" s="565" t="s">
        <v>20</v>
      </c>
    </row>
    <row r="53" spans="2:19" ht="39.950000000000003" customHeight="1" x14ac:dyDescent="0.25">
      <c r="B53" s="859">
        <v>39051</v>
      </c>
      <c r="C53" s="558" t="s">
        <v>2349</v>
      </c>
      <c r="D53" s="558"/>
      <c r="E53" s="565" t="s">
        <v>81</v>
      </c>
      <c r="F53" s="548" t="s">
        <v>174</v>
      </c>
      <c r="G53" s="559" t="s">
        <v>143</v>
      </c>
      <c r="H53" s="548" t="s">
        <v>28</v>
      </c>
      <c r="I53" s="548" t="s">
        <v>67</v>
      </c>
      <c r="J53" s="548" t="s">
        <v>68</v>
      </c>
      <c r="K53" s="560">
        <v>921.6</v>
      </c>
      <c r="L53" s="561">
        <v>33.33</v>
      </c>
      <c r="M53" s="552">
        <f t="shared" si="0"/>
        <v>27.650765076507653</v>
      </c>
      <c r="N53" s="562">
        <v>60</v>
      </c>
      <c r="O53" s="563">
        <f t="shared" si="1"/>
        <v>15.360000000000001</v>
      </c>
      <c r="P53" s="564">
        <f t="shared" ca="1" si="2"/>
        <v>227</v>
      </c>
      <c r="Q53" s="552">
        <f t="shared" ca="1" si="3"/>
        <v>-2565.1200000000003</v>
      </c>
      <c r="R53" s="563">
        <f t="shared" ca="1" si="4"/>
        <v>1</v>
      </c>
      <c r="S53" s="565" t="s">
        <v>20</v>
      </c>
    </row>
    <row r="54" spans="2:19" ht="45" customHeight="1" x14ac:dyDescent="0.25">
      <c r="B54" s="859">
        <v>39051</v>
      </c>
      <c r="C54" s="558" t="s">
        <v>2349</v>
      </c>
      <c r="D54" s="558"/>
      <c r="E54" s="565" t="s">
        <v>81</v>
      </c>
      <c r="F54" s="548" t="s">
        <v>175</v>
      </c>
      <c r="G54" s="559" t="s">
        <v>143</v>
      </c>
      <c r="H54" s="548" t="s">
        <v>28</v>
      </c>
      <c r="I54" s="548" t="s">
        <v>67</v>
      </c>
      <c r="J54" s="548" t="s">
        <v>68</v>
      </c>
      <c r="K54" s="560">
        <v>921.6</v>
      </c>
      <c r="L54" s="561">
        <v>33.33</v>
      </c>
      <c r="M54" s="552">
        <f t="shared" si="0"/>
        <v>27.650765076507653</v>
      </c>
      <c r="N54" s="562">
        <v>60</v>
      </c>
      <c r="O54" s="563">
        <f t="shared" si="1"/>
        <v>15.360000000000001</v>
      </c>
      <c r="P54" s="564">
        <f t="shared" ca="1" si="2"/>
        <v>227</v>
      </c>
      <c r="Q54" s="552">
        <f t="shared" ca="1" si="3"/>
        <v>-2565.1200000000003</v>
      </c>
      <c r="R54" s="563">
        <f t="shared" ca="1" si="4"/>
        <v>1</v>
      </c>
      <c r="S54" s="565" t="s">
        <v>20</v>
      </c>
    </row>
    <row r="55" spans="2:19" ht="39.950000000000003" customHeight="1" x14ac:dyDescent="0.25">
      <c r="B55" s="859">
        <v>39051</v>
      </c>
      <c r="C55" s="558" t="s">
        <v>2349</v>
      </c>
      <c r="D55" s="558"/>
      <c r="E55" s="565" t="s">
        <v>81</v>
      </c>
      <c r="F55" s="548" t="s">
        <v>176</v>
      </c>
      <c r="G55" s="559" t="s">
        <v>143</v>
      </c>
      <c r="H55" s="548" t="s">
        <v>28</v>
      </c>
      <c r="I55" s="548" t="s">
        <v>67</v>
      </c>
      <c r="J55" s="548" t="s">
        <v>68</v>
      </c>
      <c r="K55" s="560">
        <v>921.6</v>
      </c>
      <c r="L55" s="561">
        <v>33.33</v>
      </c>
      <c r="M55" s="552">
        <f t="shared" si="0"/>
        <v>27.650765076507653</v>
      </c>
      <c r="N55" s="562">
        <v>60</v>
      </c>
      <c r="O55" s="563">
        <f t="shared" si="1"/>
        <v>15.360000000000001</v>
      </c>
      <c r="P55" s="564">
        <f t="shared" ca="1" si="2"/>
        <v>227</v>
      </c>
      <c r="Q55" s="552">
        <f t="shared" ca="1" si="3"/>
        <v>-2565.1200000000003</v>
      </c>
      <c r="R55" s="563">
        <f t="shared" ca="1" si="4"/>
        <v>1</v>
      </c>
      <c r="S55" s="565" t="s">
        <v>20</v>
      </c>
    </row>
    <row r="56" spans="2:19" ht="39.950000000000003" customHeight="1" x14ac:dyDescent="0.25">
      <c r="B56" s="859">
        <v>39051</v>
      </c>
      <c r="C56" s="558" t="s">
        <v>2349</v>
      </c>
      <c r="D56" s="558"/>
      <c r="E56" s="565" t="s">
        <v>81</v>
      </c>
      <c r="F56" s="548" t="s">
        <v>177</v>
      </c>
      <c r="G56" s="559" t="s">
        <v>143</v>
      </c>
      <c r="H56" s="548" t="s">
        <v>28</v>
      </c>
      <c r="I56" s="548" t="s">
        <v>67</v>
      </c>
      <c r="J56" s="548" t="s">
        <v>68</v>
      </c>
      <c r="K56" s="560">
        <v>921.6</v>
      </c>
      <c r="L56" s="561">
        <v>33.33</v>
      </c>
      <c r="M56" s="552">
        <f t="shared" si="0"/>
        <v>27.650765076507653</v>
      </c>
      <c r="N56" s="562">
        <v>60</v>
      </c>
      <c r="O56" s="563">
        <f t="shared" si="1"/>
        <v>15.360000000000001</v>
      </c>
      <c r="P56" s="564">
        <f t="shared" ca="1" si="2"/>
        <v>227</v>
      </c>
      <c r="Q56" s="552">
        <f t="shared" ca="1" si="3"/>
        <v>-2565.1200000000003</v>
      </c>
      <c r="R56" s="563">
        <f t="shared" ca="1" si="4"/>
        <v>1</v>
      </c>
      <c r="S56" s="565" t="s">
        <v>20</v>
      </c>
    </row>
    <row r="57" spans="2:19" ht="53.25" customHeight="1" x14ac:dyDescent="0.25">
      <c r="B57" s="859">
        <v>39051</v>
      </c>
      <c r="C57" s="558" t="s">
        <v>2349</v>
      </c>
      <c r="D57" s="558"/>
      <c r="E57" s="565" t="s">
        <v>81</v>
      </c>
      <c r="F57" s="548" t="s">
        <v>178</v>
      </c>
      <c r="G57" s="559" t="s">
        <v>143</v>
      </c>
      <c r="H57" s="548" t="s">
        <v>28</v>
      </c>
      <c r="I57" s="548" t="s">
        <v>67</v>
      </c>
      <c r="J57" s="548" t="s">
        <v>68</v>
      </c>
      <c r="K57" s="560">
        <v>921.6</v>
      </c>
      <c r="L57" s="561">
        <v>33.33</v>
      </c>
      <c r="M57" s="552">
        <f t="shared" si="0"/>
        <v>27.650765076507653</v>
      </c>
      <c r="N57" s="562">
        <v>60</v>
      </c>
      <c r="O57" s="563">
        <f t="shared" si="1"/>
        <v>15.360000000000001</v>
      </c>
      <c r="P57" s="564">
        <f t="shared" ca="1" si="2"/>
        <v>227</v>
      </c>
      <c r="Q57" s="552">
        <f t="shared" ca="1" si="3"/>
        <v>-2565.1200000000003</v>
      </c>
      <c r="R57" s="563">
        <f t="shared" ca="1" si="4"/>
        <v>1</v>
      </c>
      <c r="S57" s="565" t="s">
        <v>20</v>
      </c>
    </row>
    <row r="58" spans="2:19" ht="53.25" customHeight="1" x14ac:dyDescent="0.25">
      <c r="B58" s="859">
        <v>39051</v>
      </c>
      <c r="C58" s="558" t="s">
        <v>2349</v>
      </c>
      <c r="D58" s="558"/>
      <c r="E58" s="565" t="s">
        <v>81</v>
      </c>
      <c r="F58" s="548" t="s">
        <v>179</v>
      </c>
      <c r="G58" s="559" t="s">
        <v>143</v>
      </c>
      <c r="H58" s="548" t="s">
        <v>28</v>
      </c>
      <c r="I58" s="548" t="s">
        <v>67</v>
      </c>
      <c r="J58" s="548" t="s">
        <v>68</v>
      </c>
      <c r="K58" s="560">
        <v>921.6</v>
      </c>
      <c r="L58" s="561">
        <v>33.33</v>
      </c>
      <c r="M58" s="552">
        <f t="shared" si="0"/>
        <v>27.650765076507653</v>
      </c>
      <c r="N58" s="562">
        <v>60</v>
      </c>
      <c r="O58" s="563">
        <f t="shared" si="1"/>
        <v>15.360000000000001</v>
      </c>
      <c r="P58" s="564">
        <f t="shared" ca="1" si="2"/>
        <v>227</v>
      </c>
      <c r="Q58" s="552">
        <f t="shared" ca="1" si="3"/>
        <v>-2565.1200000000003</v>
      </c>
      <c r="R58" s="563">
        <f t="shared" ca="1" si="4"/>
        <v>1</v>
      </c>
      <c r="S58" s="565" t="s">
        <v>20</v>
      </c>
    </row>
    <row r="59" spans="2:19" ht="50.25" customHeight="1" x14ac:dyDescent="0.25">
      <c r="B59" s="859">
        <v>39051</v>
      </c>
      <c r="C59" s="558" t="s">
        <v>2349</v>
      </c>
      <c r="D59" s="558"/>
      <c r="E59" s="565" t="s">
        <v>81</v>
      </c>
      <c r="F59" s="548" t="s">
        <v>180</v>
      </c>
      <c r="G59" s="559" t="s">
        <v>143</v>
      </c>
      <c r="H59" s="548" t="s">
        <v>28</v>
      </c>
      <c r="I59" s="548" t="s">
        <v>67</v>
      </c>
      <c r="J59" s="548" t="s">
        <v>68</v>
      </c>
      <c r="K59" s="560">
        <v>921.6</v>
      </c>
      <c r="L59" s="561">
        <v>33.33</v>
      </c>
      <c r="M59" s="552">
        <f t="shared" si="0"/>
        <v>27.650765076507653</v>
      </c>
      <c r="N59" s="562">
        <v>60</v>
      </c>
      <c r="O59" s="563">
        <f t="shared" si="1"/>
        <v>15.360000000000001</v>
      </c>
      <c r="P59" s="564">
        <f t="shared" ca="1" si="2"/>
        <v>227</v>
      </c>
      <c r="Q59" s="552">
        <f t="shared" ca="1" si="3"/>
        <v>-2565.1200000000003</v>
      </c>
      <c r="R59" s="563">
        <f t="shared" ca="1" si="4"/>
        <v>1</v>
      </c>
      <c r="S59" s="565" t="s">
        <v>20</v>
      </c>
    </row>
    <row r="60" spans="2:19" ht="54.75" customHeight="1" x14ac:dyDescent="0.25">
      <c r="B60" s="859">
        <v>39051</v>
      </c>
      <c r="C60" s="558" t="s">
        <v>2349</v>
      </c>
      <c r="D60" s="558"/>
      <c r="E60" s="565" t="s">
        <v>81</v>
      </c>
      <c r="F60" s="548" t="s">
        <v>180</v>
      </c>
      <c r="G60" s="559" t="s">
        <v>143</v>
      </c>
      <c r="H60" s="548" t="s">
        <v>28</v>
      </c>
      <c r="I60" s="548" t="s">
        <v>67</v>
      </c>
      <c r="J60" s="548" t="s">
        <v>68</v>
      </c>
      <c r="K60" s="560">
        <v>921.6</v>
      </c>
      <c r="L60" s="561">
        <v>33.33</v>
      </c>
      <c r="M60" s="552">
        <f t="shared" si="0"/>
        <v>27.650765076507653</v>
      </c>
      <c r="N60" s="562">
        <v>60</v>
      </c>
      <c r="O60" s="563">
        <f t="shared" si="1"/>
        <v>15.360000000000001</v>
      </c>
      <c r="P60" s="564">
        <f t="shared" ca="1" si="2"/>
        <v>227</v>
      </c>
      <c r="Q60" s="552">
        <f t="shared" ca="1" si="3"/>
        <v>-2565.1200000000003</v>
      </c>
      <c r="R60" s="563">
        <f t="shared" ca="1" si="4"/>
        <v>1</v>
      </c>
      <c r="S60" s="565" t="s">
        <v>20</v>
      </c>
    </row>
    <row r="61" spans="2:19" ht="67.5" customHeight="1" x14ac:dyDescent="0.25">
      <c r="B61" s="859">
        <v>39051</v>
      </c>
      <c r="C61" s="558" t="s">
        <v>2349</v>
      </c>
      <c r="D61" s="558"/>
      <c r="E61" s="565" t="s">
        <v>81</v>
      </c>
      <c r="F61" s="548" t="s">
        <v>181</v>
      </c>
      <c r="G61" s="559" t="s">
        <v>143</v>
      </c>
      <c r="H61" s="548" t="s">
        <v>28</v>
      </c>
      <c r="I61" s="548" t="s">
        <v>67</v>
      </c>
      <c r="J61" s="548" t="s">
        <v>68</v>
      </c>
      <c r="K61" s="560">
        <v>921.6</v>
      </c>
      <c r="L61" s="561">
        <v>33.33</v>
      </c>
      <c r="M61" s="552">
        <f t="shared" si="0"/>
        <v>27.650765076507653</v>
      </c>
      <c r="N61" s="562">
        <v>60</v>
      </c>
      <c r="O61" s="563">
        <f t="shared" si="1"/>
        <v>15.360000000000001</v>
      </c>
      <c r="P61" s="564">
        <f t="shared" ca="1" si="2"/>
        <v>227</v>
      </c>
      <c r="Q61" s="552">
        <f t="shared" ca="1" si="3"/>
        <v>-2565.1200000000003</v>
      </c>
      <c r="R61" s="563">
        <f t="shared" ca="1" si="4"/>
        <v>1</v>
      </c>
      <c r="S61" s="565" t="s">
        <v>20</v>
      </c>
    </row>
    <row r="62" spans="2:19" ht="39.950000000000003" customHeight="1" x14ac:dyDescent="0.25">
      <c r="B62" s="859">
        <v>39051</v>
      </c>
      <c r="C62" s="558" t="s">
        <v>2349</v>
      </c>
      <c r="D62" s="558"/>
      <c r="E62" s="565" t="s">
        <v>81</v>
      </c>
      <c r="F62" s="548" t="s">
        <v>182</v>
      </c>
      <c r="G62" s="559" t="s">
        <v>143</v>
      </c>
      <c r="H62" s="548" t="s">
        <v>28</v>
      </c>
      <c r="I62" s="548" t="s">
        <v>67</v>
      </c>
      <c r="J62" s="548" t="s">
        <v>68</v>
      </c>
      <c r="K62" s="560">
        <v>921.6</v>
      </c>
      <c r="L62" s="561">
        <v>33.33</v>
      </c>
      <c r="M62" s="552">
        <f t="shared" si="0"/>
        <v>27.650765076507653</v>
      </c>
      <c r="N62" s="562">
        <v>60</v>
      </c>
      <c r="O62" s="563">
        <f t="shared" si="1"/>
        <v>15.360000000000001</v>
      </c>
      <c r="P62" s="564">
        <f t="shared" ca="1" si="2"/>
        <v>227</v>
      </c>
      <c r="Q62" s="552">
        <f t="shared" ca="1" si="3"/>
        <v>-2565.1200000000003</v>
      </c>
      <c r="R62" s="563">
        <f t="shared" ca="1" si="4"/>
        <v>1</v>
      </c>
      <c r="S62" s="565" t="s">
        <v>20</v>
      </c>
    </row>
    <row r="63" spans="2:19" ht="39.950000000000003" customHeight="1" x14ac:dyDescent="0.25">
      <c r="B63" s="859">
        <v>39051</v>
      </c>
      <c r="C63" s="558" t="s">
        <v>2349</v>
      </c>
      <c r="D63" s="558"/>
      <c r="E63" s="565" t="s">
        <v>81</v>
      </c>
      <c r="F63" s="548" t="s">
        <v>183</v>
      </c>
      <c r="G63" s="559" t="s">
        <v>143</v>
      </c>
      <c r="H63" s="548" t="s">
        <v>28</v>
      </c>
      <c r="I63" s="548" t="s">
        <v>67</v>
      </c>
      <c r="J63" s="548" t="s">
        <v>68</v>
      </c>
      <c r="K63" s="560">
        <v>921.6</v>
      </c>
      <c r="L63" s="561">
        <v>33.33</v>
      </c>
      <c r="M63" s="552">
        <f t="shared" si="0"/>
        <v>27.650765076507653</v>
      </c>
      <c r="N63" s="562">
        <v>60</v>
      </c>
      <c r="O63" s="563">
        <f t="shared" si="1"/>
        <v>15.360000000000001</v>
      </c>
      <c r="P63" s="564">
        <f t="shared" ca="1" si="2"/>
        <v>227</v>
      </c>
      <c r="Q63" s="552">
        <f t="shared" ca="1" si="3"/>
        <v>-2565.1200000000003</v>
      </c>
      <c r="R63" s="563">
        <f t="shared" ca="1" si="4"/>
        <v>1</v>
      </c>
      <c r="S63" s="565" t="s">
        <v>20</v>
      </c>
    </row>
    <row r="64" spans="2:19" ht="39.950000000000003" customHeight="1" x14ac:dyDescent="0.25">
      <c r="B64" s="859">
        <v>39051</v>
      </c>
      <c r="C64" s="558" t="s">
        <v>2349</v>
      </c>
      <c r="D64" s="558"/>
      <c r="E64" s="565" t="s">
        <v>81</v>
      </c>
      <c r="F64" s="548" t="s">
        <v>184</v>
      </c>
      <c r="G64" s="559" t="s">
        <v>143</v>
      </c>
      <c r="H64" s="548" t="s">
        <v>28</v>
      </c>
      <c r="I64" s="548" t="s">
        <v>67</v>
      </c>
      <c r="J64" s="548" t="s">
        <v>68</v>
      </c>
      <c r="K64" s="560">
        <v>921.6</v>
      </c>
      <c r="L64" s="561">
        <v>33.33</v>
      </c>
      <c r="M64" s="552">
        <f t="shared" si="0"/>
        <v>27.650765076507653</v>
      </c>
      <c r="N64" s="562">
        <v>60</v>
      </c>
      <c r="O64" s="563">
        <f t="shared" si="1"/>
        <v>15.360000000000001</v>
      </c>
      <c r="P64" s="564">
        <f t="shared" ca="1" si="2"/>
        <v>227</v>
      </c>
      <c r="Q64" s="552">
        <f t="shared" ca="1" si="3"/>
        <v>-2565.1200000000003</v>
      </c>
      <c r="R64" s="563">
        <f t="shared" ca="1" si="4"/>
        <v>1</v>
      </c>
      <c r="S64" s="565" t="s">
        <v>20</v>
      </c>
    </row>
    <row r="65" spans="2:19" ht="39.950000000000003" customHeight="1" x14ac:dyDescent="0.25">
      <c r="B65" s="859">
        <v>39051</v>
      </c>
      <c r="C65" s="558" t="s">
        <v>2349</v>
      </c>
      <c r="D65" s="558"/>
      <c r="E65" s="565" t="s">
        <v>81</v>
      </c>
      <c r="F65" s="548" t="s">
        <v>185</v>
      </c>
      <c r="G65" s="559" t="s">
        <v>143</v>
      </c>
      <c r="H65" s="548" t="s">
        <v>28</v>
      </c>
      <c r="I65" s="548" t="s">
        <v>67</v>
      </c>
      <c r="J65" s="548" t="s">
        <v>68</v>
      </c>
      <c r="K65" s="560">
        <v>921.6</v>
      </c>
      <c r="L65" s="561">
        <v>33.33</v>
      </c>
      <c r="M65" s="552">
        <f t="shared" si="0"/>
        <v>27.650765076507653</v>
      </c>
      <c r="N65" s="562">
        <v>60</v>
      </c>
      <c r="O65" s="563">
        <f t="shared" si="1"/>
        <v>15.360000000000001</v>
      </c>
      <c r="P65" s="564">
        <f t="shared" ca="1" si="2"/>
        <v>227</v>
      </c>
      <c r="Q65" s="552">
        <f t="shared" ca="1" si="3"/>
        <v>-2565.1200000000003</v>
      </c>
      <c r="R65" s="563">
        <f t="shared" ca="1" si="4"/>
        <v>1</v>
      </c>
      <c r="S65" s="565" t="s">
        <v>20</v>
      </c>
    </row>
    <row r="66" spans="2:19" ht="48.75" customHeight="1" x14ac:dyDescent="0.25">
      <c r="B66" s="859">
        <v>39051</v>
      </c>
      <c r="C66" s="558" t="s">
        <v>2349</v>
      </c>
      <c r="D66" s="558"/>
      <c r="E66" s="565" t="s">
        <v>81</v>
      </c>
      <c r="F66" s="548" t="s">
        <v>186</v>
      </c>
      <c r="G66" s="559" t="s">
        <v>143</v>
      </c>
      <c r="H66" s="548" t="s">
        <v>28</v>
      </c>
      <c r="I66" s="548" t="s">
        <v>67</v>
      </c>
      <c r="J66" s="548" t="s">
        <v>68</v>
      </c>
      <c r="K66" s="560">
        <v>921.6</v>
      </c>
      <c r="L66" s="561">
        <v>33.33</v>
      </c>
      <c r="M66" s="552">
        <f t="shared" si="0"/>
        <v>27.650765076507653</v>
      </c>
      <c r="N66" s="562">
        <v>60</v>
      </c>
      <c r="O66" s="563">
        <f t="shared" si="1"/>
        <v>15.360000000000001</v>
      </c>
      <c r="P66" s="564">
        <f t="shared" ca="1" si="2"/>
        <v>227</v>
      </c>
      <c r="Q66" s="552">
        <f t="shared" ca="1" si="3"/>
        <v>-2565.1200000000003</v>
      </c>
      <c r="R66" s="563">
        <f t="shared" ca="1" si="4"/>
        <v>1</v>
      </c>
      <c r="S66" s="565" t="s">
        <v>20</v>
      </c>
    </row>
    <row r="67" spans="2:19" ht="51.75" customHeight="1" x14ac:dyDescent="0.25">
      <c r="B67" s="859">
        <v>39051</v>
      </c>
      <c r="C67" s="558" t="s">
        <v>2349</v>
      </c>
      <c r="D67" s="558"/>
      <c r="E67" s="565" t="s">
        <v>74</v>
      </c>
      <c r="F67" s="548" t="s">
        <v>75</v>
      </c>
      <c r="G67" s="559" t="s">
        <v>76</v>
      </c>
      <c r="H67" s="548" t="s">
        <v>28</v>
      </c>
      <c r="I67" s="548" t="s">
        <v>77</v>
      </c>
      <c r="J67" s="548" t="s">
        <v>19</v>
      </c>
      <c r="K67" s="560">
        <v>25979.743999999999</v>
      </c>
      <c r="L67" s="561">
        <v>33.33</v>
      </c>
      <c r="M67" s="552">
        <f t="shared" si="0"/>
        <v>779.47026702670269</v>
      </c>
      <c r="N67" s="562">
        <v>60</v>
      </c>
      <c r="O67" s="563">
        <f t="shared" si="1"/>
        <v>432.99573333333331</v>
      </c>
      <c r="P67" s="564">
        <f t="shared" ca="1" si="2"/>
        <v>227</v>
      </c>
      <c r="Q67" s="552">
        <f t="shared" ca="1" si="3"/>
        <v>-72310.287466666661</v>
      </c>
      <c r="R67" s="563">
        <f t="shared" ca="1" si="4"/>
        <v>1</v>
      </c>
      <c r="S67" s="565" t="s">
        <v>78</v>
      </c>
    </row>
    <row r="68" spans="2:19" ht="48.75" customHeight="1" x14ac:dyDescent="0.25">
      <c r="B68" s="859">
        <v>39051</v>
      </c>
      <c r="C68" s="558" t="s">
        <v>2349</v>
      </c>
      <c r="D68" s="558"/>
      <c r="E68" s="565" t="s">
        <v>81</v>
      </c>
      <c r="F68" s="548" t="s">
        <v>138</v>
      </c>
      <c r="G68" s="559" t="s">
        <v>139</v>
      </c>
      <c r="H68" s="548" t="s">
        <v>28</v>
      </c>
      <c r="I68" s="548" t="s">
        <v>67</v>
      </c>
      <c r="J68" s="548" t="s">
        <v>68</v>
      </c>
      <c r="K68" s="560">
        <v>4343.2</v>
      </c>
      <c r="L68" s="561">
        <v>33.33</v>
      </c>
      <c r="M68" s="552">
        <f t="shared" si="0"/>
        <v>130.3090309030903</v>
      </c>
      <c r="N68" s="562">
        <v>60</v>
      </c>
      <c r="O68" s="563">
        <f t="shared" si="1"/>
        <v>72.38666666666667</v>
      </c>
      <c r="P68" s="564">
        <f t="shared" ca="1" si="2"/>
        <v>227</v>
      </c>
      <c r="Q68" s="552">
        <f t="shared" ca="1" si="3"/>
        <v>-12088.573333333334</v>
      </c>
      <c r="R68" s="563">
        <f t="shared" ca="1" si="4"/>
        <v>1</v>
      </c>
      <c r="S68" s="565" t="s">
        <v>20</v>
      </c>
    </row>
    <row r="69" spans="2:19" ht="53.25" customHeight="1" x14ac:dyDescent="0.25">
      <c r="B69" s="859">
        <v>39051</v>
      </c>
      <c r="C69" s="558" t="s">
        <v>2349</v>
      </c>
      <c r="D69" s="558"/>
      <c r="E69" s="565" t="s">
        <v>81</v>
      </c>
      <c r="F69" s="548" t="s">
        <v>140</v>
      </c>
      <c r="G69" s="559" t="s">
        <v>139</v>
      </c>
      <c r="H69" s="548" t="s">
        <v>28</v>
      </c>
      <c r="I69" s="548" t="s">
        <v>67</v>
      </c>
      <c r="J69" s="548" t="s">
        <v>68</v>
      </c>
      <c r="K69" s="560">
        <v>4343.2</v>
      </c>
      <c r="L69" s="561">
        <v>33.33</v>
      </c>
      <c r="M69" s="552">
        <f t="shared" si="0"/>
        <v>130.3090309030903</v>
      </c>
      <c r="N69" s="562">
        <v>60</v>
      </c>
      <c r="O69" s="563">
        <f t="shared" si="1"/>
        <v>72.38666666666667</v>
      </c>
      <c r="P69" s="564">
        <f t="shared" ca="1" si="2"/>
        <v>227</v>
      </c>
      <c r="Q69" s="552">
        <f t="shared" ca="1" si="3"/>
        <v>-12088.573333333334</v>
      </c>
      <c r="R69" s="563">
        <f t="shared" ca="1" si="4"/>
        <v>1</v>
      </c>
      <c r="S69" s="565" t="s">
        <v>20</v>
      </c>
    </row>
    <row r="70" spans="2:19" ht="48" customHeight="1" x14ac:dyDescent="0.25">
      <c r="B70" s="859">
        <v>39051</v>
      </c>
      <c r="C70" s="558" t="s">
        <v>2349</v>
      </c>
      <c r="D70" s="558"/>
      <c r="E70" s="565" t="s">
        <v>81</v>
      </c>
      <c r="F70" s="548" t="s">
        <v>141</v>
      </c>
      <c r="G70" s="559" t="s">
        <v>139</v>
      </c>
      <c r="H70" s="548" t="s">
        <v>28</v>
      </c>
      <c r="I70" s="548" t="s">
        <v>67</v>
      </c>
      <c r="J70" s="548" t="s">
        <v>68</v>
      </c>
      <c r="K70" s="560">
        <v>4343.2</v>
      </c>
      <c r="L70" s="561">
        <v>33.33</v>
      </c>
      <c r="M70" s="552">
        <f t="shared" si="0"/>
        <v>130.3090309030903</v>
      </c>
      <c r="N70" s="562">
        <v>60</v>
      </c>
      <c r="O70" s="563">
        <f t="shared" si="1"/>
        <v>72.38666666666667</v>
      </c>
      <c r="P70" s="564">
        <f t="shared" ca="1" si="2"/>
        <v>227</v>
      </c>
      <c r="Q70" s="552">
        <f t="shared" ca="1" si="3"/>
        <v>-12088.573333333334</v>
      </c>
      <c r="R70" s="563">
        <f t="shared" ca="1" si="4"/>
        <v>1</v>
      </c>
      <c r="S70" s="565" t="s">
        <v>20</v>
      </c>
    </row>
    <row r="71" spans="2:19" ht="57" customHeight="1" x14ac:dyDescent="0.25">
      <c r="B71" s="859">
        <v>39051</v>
      </c>
      <c r="C71" s="558" t="s">
        <v>2349</v>
      </c>
      <c r="D71" s="558"/>
      <c r="E71" s="565" t="s">
        <v>81</v>
      </c>
      <c r="F71" s="548" t="s">
        <v>122</v>
      </c>
      <c r="G71" s="559" t="s">
        <v>139</v>
      </c>
      <c r="H71" s="548" t="s">
        <v>28</v>
      </c>
      <c r="I71" s="548" t="s">
        <v>67</v>
      </c>
      <c r="J71" s="548" t="s">
        <v>68</v>
      </c>
      <c r="K71" s="560">
        <v>4343.2</v>
      </c>
      <c r="L71" s="561">
        <v>33.33</v>
      </c>
      <c r="M71" s="552">
        <f t="shared" si="0"/>
        <v>130.3090309030903</v>
      </c>
      <c r="N71" s="562">
        <v>60</v>
      </c>
      <c r="O71" s="563">
        <f t="shared" si="1"/>
        <v>72.38666666666667</v>
      </c>
      <c r="P71" s="564">
        <f t="shared" ca="1" si="2"/>
        <v>227</v>
      </c>
      <c r="Q71" s="552">
        <f t="shared" ca="1" si="3"/>
        <v>-12088.573333333334</v>
      </c>
      <c r="R71" s="563">
        <f t="shared" ca="1" si="4"/>
        <v>1</v>
      </c>
      <c r="S71" s="565" t="s">
        <v>20</v>
      </c>
    </row>
    <row r="72" spans="2:19" ht="55.5" customHeight="1" x14ac:dyDescent="0.25">
      <c r="B72" s="859">
        <v>39051</v>
      </c>
      <c r="C72" s="558" t="s">
        <v>2349</v>
      </c>
      <c r="D72" s="558"/>
      <c r="E72" s="565" t="s">
        <v>81</v>
      </c>
      <c r="F72" s="548" t="s">
        <v>124</v>
      </c>
      <c r="G72" s="559" t="s">
        <v>139</v>
      </c>
      <c r="H72" s="548" t="s">
        <v>28</v>
      </c>
      <c r="I72" s="548" t="s">
        <v>67</v>
      </c>
      <c r="J72" s="548" t="s">
        <v>68</v>
      </c>
      <c r="K72" s="560">
        <v>4343.2</v>
      </c>
      <c r="L72" s="561">
        <v>33.33</v>
      </c>
      <c r="M72" s="552">
        <f t="shared" ref="M72:M135" si="5">+K72/L72</f>
        <v>130.3090309030903</v>
      </c>
      <c r="N72" s="562">
        <v>60</v>
      </c>
      <c r="O72" s="563">
        <f t="shared" ref="O72:O135" si="6">IF(AND(K72&lt;&gt;0,N72&lt;&gt;0),K72/N72,0)</f>
        <v>72.38666666666667</v>
      </c>
      <c r="P72" s="564">
        <f t="shared" ref="P72:P135" ca="1" si="7">IF(B72&lt;&gt;0,(ROUND((NOW()-B72)/30,0)),0)</f>
        <v>227</v>
      </c>
      <c r="Q72" s="552">
        <f t="shared" ref="Q72:Q135" ca="1" si="8">IF(OR(K72=0,N72=0,P72=0),0,K72-(O72*P72))</f>
        <v>-12088.573333333334</v>
      </c>
      <c r="R72" s="563">
        <f t="shared" ref="R72:R135" ca="1" si="9">IF(Q72&lt;1,1,Q72)</f>
        <v>1</v>
      </c>
      <c r="S72" s="565" t="s">
        <v>20</v>
      </c>
    </row>
    <row r="73" spans="2:19" ht="51" customHeight="1" x14ac:dyDescent="0.25">
      <c r="B73" s="859">
        <v>39051</v>
      </c>
      <c r="C73" s="558" t="s">
        <v>2349</v>
      </c>
      <c r="D73" s="558"/>
      <c r="E73" s="565" t="s">
        <v>81</v>
      </c>
      <c r="F73" s="548" t="s">
        <v>125</v>
      </c>
      <c r="G73" s="559" t="s">
        <v>139</v>
      </c>
      <c r="H73" s="548" t="s">
        <v>28</v>
      </c>
      <c r="I73" s="548" t="s">
        <v>67</v>
      </c>
      <c r="J73" s="548" t="s">
        <v>68</v>
      </c>
      <c r="K73" s="560">
        <v>4343.2</v>
      </c>
      <c r="L73" s="561">
        <v>33.33</v>
      </c>
      <c r="M73" s="552">
        <f t="shared" si="5"/>
        <v>130.3090309030903</v>
      </c>
      <c r="N73" s="562">
        <v>60</v>
      </c>
      <c r="O73" s="563">
        <f t="shared" si="6"/>
        <v>72.38666666666667</v>
      </c>
      <c r="P73" s="564">
        <f t="shared" ca="1" si="7"/>
        <v>227</v>
      </c>
      <c r="Q73" s="552">
        <f t="shared" ca="1" si="8"/>
        <v>-12088.573333333334</v>
      </c>
      <c r="R73" s="563">
        <f t="shared" ca="1" si="9"/>
        <v>1</v>
      </c>
      <c r="S73" s="565" t="s">
        <v>20</v>
      </c>
    </row>
    <row r="74" spans="2:19" ht="63.75" customHeight="1" x14ac:dyDescent="0.25">
      <c r="B74" s="859">
        <v>39051</v>
      </c>
      <c r="C74" s="558" t="s">
        <v>2349</v>
      </c>
      <c r="D74" s="558"/>
      <c r="E74" s="565" t="s">
        <v>81</v>
      </c>
      <c r="F74" s="548" t="s">
        <v>126</v>
      </c>
      <c r="G74" s="559" t="s">
        <v>139</v>
      </c>
      <c r="H74" s="548" t="s">
        <v>28</v>
      </c>
      <c r="I74" s="548" t="s">
        <v>67</v>
      </c>
      <c r="J74" s="548" t="s">
        <v>68</v>
      </c>
      <c r="K74" s="560">
        <v>4343.2</v>
      </c>
      <c r="L74" s="561">
        <v>33.33</v>
      </c>
      <c r="M74" s="552">
        <f t="shared" si="5"/>
        <v>130.3090309030903</v>
      </c>
      <c r="N74" s="562">
        <v>60</v>
      </c>
      <c r="O74" s="563">
        <f t="shared" si="6"/>
        <v>72.38666666666667</v>
      </c>
      <c r="P74" s="564">
        <f t="shared" ca="1" si="7"/>
        <v>227</v>
      </c>
      <c r="Q74" s="552">
        <f t="shared" ca="1" si="8"/>
        <v>-12088.573333333334</v>
      </c>
      <c r="R74" s="563">
        <f t="shared" ca="1" si="9"/>
        <v>1</v>
      </c>
      <c r="S74" s="565" t="s">
        <v>20</v>
      </c>
    </row>
    <row r="75" spans="2:19" ht="39.950000000000003" customHeight="1" x14ac:dyDescent="0.25">
      <c r="B75" s="859">
        <v>39051</v>
      </c>
      <c r="C75" s="558" t="s">
        <v>2349</v>
      </c>
      <c r="D75" s="558"/>
      <c r="E75" s="565" t="s">
        <v>81</v>
      </c>
      <c r="F75" s="548" t="s">
        <v>127</v>
      </c>
      <c r="G75" s="559" t="s">
        <v>139</v>
      </c>
      <c r="H75" s="548" t="s">
        <v>28</v>
      </c>
      <c r="I75" s="548" t="s">
        <v>67</v>
      </c>
      <c r="J75" s="548" t="s">
        <v>68</v>
      </c>
      <c r="K75" s="560">
        <v>4343.2</v>
      </c>
      <c r="L75" s="561">
        <v>33.33</v>
      </c>
      <c r="M75" s="552">
        <f t="shared" si="5"/>
        <v>130.3090309030903</v>
      </c>
      <c r="N75" s="562">
        <v>60</v>
      </c>
      <c r="O75" s="563">
        <f t="shared" si="6"/>
        <v>72.38666666666667</v>
      </c>
      <c r="P75" s="564">
        <f t="shared" ca="1" si="7"/>
        <v>227</v>
      </c>
      <c r="Q75" s="552">
        <f t="shared" ca="1" si="8"/>
        <v>-12088.573333333334</v>
      </c>
      <c r="R75" s="563">
        <f t="shared" ca="1" si="9"/>
        <v>1</v>
      </c>
      <c r="S75" s="565" t="s">
        <v>20</v>
      </c>
    </row>
    <row r="76" spans="2:19" ht="62.25" customHeight="1" x14ac:dyDescent="0.25">
      <c r="B76" s="859">
        <v>39051</v>
      </c>
      <c r="C76" s="558" t="s">
        <v>2349</v>
      </c>
      <c r="D76" s="558"/>
      <c r="E76" s="565" t="s">
        <v>81</v>
      </c>
      <c r="F76" s="548" t="s">
        <v>133</v>
      </c>
      <c r="G76" s="559" t="s">
        <v>134</v>
      </c>
      <c r="H76" s="548" t="s">
        <v>28</v>
      </c>
      <c r="I76" s="548" t="s">
        <v>67</v>
      </c>
      <c r="J76" s="548" t="s">
        <v>68</v>
      </c>
      <c r="K76" s="560">
        <v>2880</v>
      </c>
      <c r="L76" s="561">
        <v>33.33</v>
      </c>
      <c r="M76" s="552">
        <f t="shared" si="5"/>
        <v>86.408640864086408</v>
      </c>
      <c r="N76" s="562">
        <v>60</v>
      </c>
      <c r="O76" s="563">
        <f t="shared" si="6"/>
        <v>48</v>
      </c>
      <c r="P76" s="564">
        <f t="shared" ca="1" si="7"/>
        <v>227</v>
      </c>
      <c r="Q76" s="552">
        <f t="shared" ca="1" si="8"/>
        <v>-8016</v>
      </c>
      <c r="R76" s="563">
        <f t="shared" ca="1" si="9"/>
        <v>1</v>
      </c>
      <c r="S76" s="565" t="s">
        <v>20</v>
      </c>
    </row>
    <row r="77" spans="2:19" ht="63.75" customHeight="1" x14ac:dyDescent="0.25">
      <c r="B77" s="859">
        <v>39051</v>
      </c>
      <c r="C77" s="558" t="s">
        <v>2349</v>
      </c>
      <c r="D77" s="558"/>
      <c r="E77" s="565" t="s">
        <v>81</v>
      </c>
      <c r="F77" s="548" t="s">
        <v>135</v>
      </c>
      <c r="G77" s="559" t="s">
        <v>134</v>
      </c>
      <c r="H77" s="548" t="s">
        <v>28</v>
      </c>
      <c r="I77" s="548" t="s">
        <v>67</v>
      </c>
      <c r="J77" s="548" t="s">
        <v>68</v>
      </c>
      <c r="K77" s="560">
        <v>2880</v>
      </c>
      <c r="L77" s="561">
        <v>33.33</v>
      </c>
      <c r="M77" s="552">
        <f t="shared" si="5"/>
        <v>86.408640864086408</v>
      </c>
      <c r="N77" s="562">
        <v>60</v>
      </c>
      <c r="O77" s="563">
        <f t="shared" si="6"/>
        <v>48</v>
      </c>
      <c r="P77" s="564">
        <f t="shared" ca="1" si="7"/>
        <v>227</v>
      </c>
      <c r="Q77" s="552">
        <f t="shared" ca="1" si="8"/>
        <v>-8016</v>
      </c>
      <c r="R77" s="563">
        <f t="shared" ca="1" si="9"/>
        <v>1</v>
      </c>
      <c r="S77" s="565" t="s">
        <v>20</v>
      </c>
    </row>
    <row r="78" spans="2:19" ht="65.25" customHeight="1" x14ac:dyDescent="0.25">
      <c r="B78" s="859">
        <v>39051</v>
      </c>
      <c r="C78" s="558" t="s">
        <v>2349</v>
      </c>
      <c r="D78" s="558"/>
      <c r="E78" s="565" t="s">
        <v>81</v>
      </c>
      <c r="F78" s="548" t="s">
        <v>136</v>
      </c>
      <c r="G78" s="559" t="s">
        <v>134</v>
      </c>
      <c r="H78" s="548" t="s">
        <v>28</v>
      </c>
      <c r="I78" s="548" t="s">
        <v>67</v>
      </c>
      <c r="J78" s="548" t="s">
        <v>68</v>
      </c>
      <c r="K78" s="560">
        <v>2880</v>
      </c>
      <c r="L78" s="561">
        <v>33.33</v>
      </c>
      <c r="M78" s="552">
        <f t="shared" si="5"/>
        <v>86.408640864086408</v>
      </c>
      <c r="N78" s="562">
        <v>60</v>
      </c>
      <c r="O78" s="563">
        <f t="shared" si="6"/>
        <v>48</v>
      </c>
      <c r="P78" s="564">
        <f t="shared" ca="1" si="7"/>
        <v>227</v>
      </c>
      <c r="Q78" s="552">
        <f t="shared" ca="1" si="8"/>
        <v>-8016</v>
      </c>
      <c r="R78" s="563">
        <f t="shared" ca="1" si="9"/>
        <v>1</v>
      </c>
      <c r="S78" s="565" t="s">
        <v>20</v>
      </c>
    </row>
    <row r="79" spans="2:19" ht="65.25" customHeight="1" x14ac:dyDescent="0.25">
      <c r="B79" s="859">
        <v>39051</v>
      </c>
      <c r="C79" s="558" t="s">
        <v>2349</v>
      </c>
      <c r="D79" s="558"/>
      <c r="E79" s="565" t="s">
        <v>81</v>
      </c>
      <c r="F79" s="548" t="s">
        <v>137</v>
      </c>
      <c r="G79" s="559" t="s">
        <v>134</v>
      </c>
      <c r="H79" s="548" t="s">
        <v>28</v>
      </c>
      <c r="I79" s="548" t="s">
        <v>67</v>
      </c>
      <c r="J79" s="548" t="s">
        <v>68</v>
      </c>
      <c r="K79" s="560">
        <v>2880</v>
      </c>
      <c r="L79" s="561">
        <v>33.33</v>
      </c>
      <c r="M79" s="552">
        <f t="shared" si="5"/>
        <v>86.408640864086408</v>
      </c>
      <c r="N79" s="562">
        <v>60</v>
      </c>
      <c r="O79" s="563">
        <f t="shared" si="6"/>
        <v>48</v>
      </c>
      <c r="P79" s="564">
        <f t="shared" ca="1" si="7"/>
        <v>227</v>
      </c>
      <c r="Q79" s="552">
        <f t="shared" ca="1" si="8"/>
        <v>-8016</v>
      </c>
      <c r="R79" s="563">
        <f t="shared" ca="1" si="9"/>
        <v>1</v>
      </c>
      <c r="S79" s="565" t="s">
        <v>20</v>
      </c>
    </row>
    <row r="80" spans="2:19" ht="66.75" customHeight="1" x14ac:dyDescent="0.25">
      <c r="B80" s="859">
        <v>39051</v>
      </c>
      <c r="C80" s="558" t="s">
        <v>2349</v>
      </c>
      <c r="D80" s="558"/>
      <c r="E80" s="565" t="s">
        <v>81</v>
      </c>
      <c r="F80" s="548" t="s">
        <v>127</v>
      </c>
      <c r="G80" s="559" t="s">
        <v>132</v>
      </c>
      <c r="H80" s="548" t="s">
        <v>28</v>
      </c>
      <c r="I80" s="548" t="s">
        <v>67</v>
      </c>
      <c r="J80" s="548" t="s">
        <v>68</v>
      </c>
      <c r="K80" s="560">
        <v>5011.2</v>
      </c>
      <c r="L80" s="561">
        <v>33.33</v>
      </c>
      <c r="M80" s="552">
        <f t="shared" si="5"/>
        <v>150.35103510351036</v>
      </c>
      <c r="N80" s="562">
        <v>60</v>
      </c>
      <c r="O80" s="563">
        <f t="shared" si="6"/>
        <v>83.52</v>
      </c>
      <c r="P80" s="564">
        <f t="shared" ca="1" si="7"/>
        <v>227</v>
      </c>
      <c r="Q80" s="552">
        <f t="shared" ca="1" si="8"/>
        <v>-13947.84</v>
      </c>
      <c r="R80" s="563">
        <f t="shared" ca="1" si="9"/>
        <v>1</v>
      </c>
      <c r="S80" s="565" t="s">
        <v>20</v>
      </c>
    </row>
    <row r="81" spans="2:19" ht="42.75" x14ac:dyDescent="0.25">
      <c r="B81" s="859">
        <v>39051</v>
      </c>
      <c r="C81" s="558" t="s">
        <v>2349</v>
      </c>
      <c r="D81" s="558"/>
      <c r="E81" s="565" t="s">
        <v>81</v>
      </c>
      <c r="F81" s="548" t="s">
        <v>126</v>
      </c>
      <c r="G81" s="559" t="s">
        <v>131</v>
      </c>
      <c r="H81" s="548" t="s">
        <v>28</v>
      </c>
      <c r="I81" s="548" t="s">
        <v>67</v>
      </c>
      <c r="J81" s="548" t="s">
        <v>68</v>
      </c>
      <c r="K81" s="560">
        <v>2787.2</v>
      </c>
      <c r="L81" s="561">
        <v>33.33</v>
      </c>
      <c r="M81" s="552">
        <f t="shared" si="5"/>
        <v>83.624362436243629</v>
      </c>
      <c r="N81" s="562">
        <v>60</v>
      </c>
      <c r="O81" s="563">
        <f t="shared" si="6"/>
        <v>46.453333333333333</v>
      </c>
      <c r="P81" s="564">
        <f t="shared" ca="1" si="7"/>
        <v>227</v>
      </c>
      <c r="Q81" s="552">
        <f t="shared" ca="1" si="8"/>
        <v>-7757.706666666666</v>
      </c>
      <c r="R81" s="563">
        <f t="shared" ca="1" si="9"/>
        <v>1</v>
      </c>
      <c r="S81" s="565" t="s">
        <v>20</v>
      </c>
    </row>
    <row r="82" spans="2:19" ht="42.75" x14ac:dyDescent="0.25">
      <c r="B82" s="859">
        <v>39051</v>
      </c>
      <c r="C82" s="558" t="s">
        <v>2349</v>
      </c>
      <c r="D82" s="558"/>
      <c r="E82" s="565" t="s">
        <v>81</v>
      </c>
      <c r="F82" s="548" t="s">
        <v>125</v>
      </c>
      <c r="G82" s="559" t="s">
        <v>130</v>
      </c>
      <c r="H82" s="548" t="s">
        <v>28</v>
      </c>
      <c r="I82" s="548" t="s">
        <v>67</v>
      </c>
      <c r="J82" s="548" t="s">
        <v>68</v>
      </c>
      <c r="K82" s="560">
        <v>7641.6</v>
      </c>
      <c r="L82" s="561">
        <v>33.33</v>
      </c>
      <c r="M82" s="552">
        <f t="shared" si="5"/>
        <v>229.27092709270929</v>
      </c>
      <c r="N82" s="562">
        <v>60</v>
      </c>
      <c r="O82" s="563">
        <f t="shared" si="6"/>
        <v>127.36</v>
      </c>
      <c r="P82" s="564">
        <f t="shared" ca="1" si="7"/>
        <v>227</v>
      </c>
      <c r="Q82" s="552">
        <f t="shared" ca="1" si="8"/>
        <v>-21269.120000000003</v>
      </c>
      <c r="R82" s="563">
        <f t="shared" ca="1" si="9"/>
        <v>1</v>
      </c>
      <c r="S82" s="565" t="s">
        <v>20</v>
      </c>
    </row>
    <row r="83" spans="2:19" ht="42.75" x14ac:dyDescent="0.25">
      <c r="B83" s="859">
        <v>39051</v>
      </c>
      <c r="C83" s="558" t="s">
        <v>2349</v>
      </c>
      <c r="D83" s="558"/>
      <c r="E83" s="565" t="s">
        <v>81</v>
      </c>
      <c r="F83" s="548" t="s">
        <v>128</v>
      </c>
      <c r="G83" s="559" t="s">
        <v>129</v>
      </c>
      <c r="H83" s="548" t="s">
        <v>28</v>
      </c>
      <c r="I83" s="548" t="s">
        <v>67</v>
      </c>
      <c r="J83" s="548" t="s">
        <v>68</v>
      </c>
      <c r="K83" s="560">
        <v>2263.1999999999998</v>
      </c>
      <c r="L83" s="561">
        <v>33.33</v>
      </c>
      <c r="M83" s="552">
        <f t="shared" si="5"/>
        <v>67.902790279027897</v>
      </c>
      <c r="N83" s="562">
        <v>60</v>
      </c>
      <c r="O83" s="563">
        <f t="shared" si="6"/>
        <v>37.72</v>
      </c>
      <c r="P83" s="564">
        <f t="shared" ca="1" si="7"/>
        <v>227</v>
      </c>
      <c r="Q83" s="552">
        <f t="shared" ca="1" si="8"/>
        <v>-6299.2400000000007</v>
      </c>
      <c r="R83" s="563">
        <f t="shared" ca="1" si="9"/>
        <v>1</v>
      </c>
      <c r="S83" s="565" t="s">
        <v>20</v>
      </c>
    </row>
    <row r="84" spans="2:19" ht="28.5" x14ac:dyDescent="0.25">
      <c r="B84" s="859">
        <v>39051</v>
      </c>
      <c r="C84" s="558" t="s">
        <v>2349</v>
      </c>
      <c r="D84" s="558"/>
      <c r="E84" s="565" t="s">
        <v>81</v>
      </c>
      <c r="F84" s="548" t="s">
        <v>122</v>
      </c>
      <c r="G84" s="559" t="s">
        <v>123</v>
      </c>
      <c r="H84" s="548" t="s">
        <v>28</v>
      </c>
      <c r="I84" s="548" t="s">
        <v>67</v>
      </c>
      <c r="J84" s="548" t="s">
        <v>68</v>
      </c>
      <c r="K84" s="560">
        <v>394.4</v>
      </c>
      <c r="L84" s="561">
        <v>33.33</v>
      </c>
      <c r="M84" s="552">
        <f t="shared" si="5"/>
        <v>11.833183318331834</v>
      </c>
      <c r="N84" s="562">
        <v>60</v>
      </c>
      <c r="O84" s="563">
        <f t="shared" si="6"/>
        <v>6.5733333333333333</v>
      </c>
      <c r="P84" s="564">
        <f t="shared" ca="1" si="7"/>
        <v>227</v>
      </c>
      <c r="Q84" s="552">
        <f t="shared" ca="1" si="8"/>
        <v>-1097.7466666666669</v>
      </c>
      <c r="R84" s="563">
        <f t="shared" ca="1" si="9"/>
        <v>1</v>
      </c>
      <c r="S84" s="565" t="s">
        <v>20</v>
      </c>
    </row>
    <row r="85" spans="2:19" ht="28.5" x14ac:dyDescent="0.25">
      <c r="B85" s="859">
        <v>39051</v>
      </c>
      <c r="C85" s="558" t="s">
        <v>2349</v>
      </c>
      <c r="D85" s="558"/>
      <c r="E85" s="565" t="s">
        <v>81</v>
      </c>
      <c r="F85" s="548" t="s">
        <v>124</v>
      </c>
      <c r="G85" s="559" t="s">
        <v>123</v>
      </c>
      <c r="H85" s="548" t="s">
        <v>28</v>
      </c>
      <c r="I85" s="548" t="s">
        <v>67</v>
      </c>
      <c r="J85" s="548" t="s">
        <v>68</v>
      </c>
      <c r="K85" s="560">
        <v>394.4</v>
      </c>
      <c r="L85" s="561">
        <v>33.33</v>
      </c>
      <c r="M85" s="552">
        <f t="shared" si="5"/>
        <v>11.833183318331834</v>
      </c>
      <c r="N85" s="562">
        <v>60</v>
      </c>
      <c r="O85" s="563">
        <f t="shared" si="6"/>
        <v>6.5733333333333333</v>
      </c>
      <c r="P85" s="564">
        <f t="shared" ca="1" si="7"/>
        <v>227</v>
      </c>
      <c r="Q85" s="552">
        <f t="shared" ca="1" si="8"/>
        <v>-1097.7466666666669</v>
      </c>
      <c r="R85" s="563">
        <f t="shared" ca="1" si="9"/>
        <v>1</v>
      </c>
      <c r="S85" s="565" t="s">
        <v>20</v>
      </c>
    </row>
    <row r="86" spans="2:19" ht="28.5" x14ac:dyDescent="0.25">
      <c r="B86" s="859">
        <v>39051</v>
      </c>
      <c r="C86" s="558" t="s">
        <v>2349</v>
      </c>
      <c r="D86" s="558"/>
      <c r="E86" s="565" t="s">
        <v>81</v>
      </c>
      <c r="F86" s="548" t="s">
        <v>125</v>
      </c>
      <c r="G86" s="559" t="s">
        <v>123</v>
      </c>
      <c r="H86" s="548" t="s">
        <v>28</v>
      </c>
      <c r="I86" s="548" t="s">
        <v>67</v>
      </c>
      <c r="J86" s="548" t="s">
        <v>68</v>
      </c>
      <c r="K86" s="560">
        <v>394.4</v>
      </c>
      <c r="L86" s="561">
        <v>33.33</v>
      </c>
      <c r="M86" s="552">
        <f t="shared" si="5"/>
        <v>11.833183318331834</v>
      </c>
      <c r="N86" s="562">
        <v>60</v>
      </c>
      <c r="O86" s="563">
        <f t="shared" si="6"/>
        <v>6.5733333333333333</v>
      </c>
      <c r="P86" s="564">
        <f t="shared" ca="1" si="7"/>
        <v>227</v>
      </c>
      <c r="Q86" s="552">
        <f t="shared" ca="1" si="8"/>
        <v>-1097.7466666666669</v>
      </c>
      <c r="R86" s="563">
        <f t="shared" ca="1" si="9"/>
        <v>1</v>
      </c>
      <c r="S86" s="565" t="s">
        <v>20</v>
      </c>
    </row>
    <row r="87" spans="2:19" ht="28.5" x14ac:dyDescent="0.25">
      <c r="B87" s="859">
        <v>39051</v>
      </c>
      <c r="C87" s="558" t="s">
        <v>2349</v>
      </c>
      <c r="D87" s="558"/>
      <c r="E87" s="565" t="s">
        <v>81</v>
      </c>
      <c r="F87" s="548" t="s">
        <v>126</v>
      </c>
      <c r="G87" s="559" t="s">
        <v>123</v>
      </c>
      <c r="H87" s="548" t="s">
        <v>28</v>
      </c>
      <c r="I87" s="548" t="s">
        <v>67</v>
      </c>
      <c r="J87" s="548" t="s">
        <v>68</v>
      </c>
      <c r="K87" s="560">
        <v>394.4</v>
      </c>
      <c r="L87" s="561">
        <v>33.33</v>
      </c>
      <c r="M87" s="552">
        <f t="shared" si="5"/>
        <v>11.833183318331834</v>
      </c>
      <c r="N87" s="562">
        <v>60</v>
      </c>
      <c r="O87" s="563">
        <f t="shared" si="6"/>
        <v>6.5733333333333333</v>
      </c>
      <c r="P87" s="564">
        <f t="shared" ca="1" si="7"/>
        <v>227</v>
      </c>
      <c r="Q87" s="552">
        <f t="shared" ca="1" si="8"/>
        <v>-1097.7466666666669</v>
      </c>
      <c r="R87" s="563">
        <f t="shared" ca="1" si="9"/>
        <v>1</v>
      </c>
      <c r="S87" s="565" t="s">
        <v>20</v>
      </c>
    </row>
    <row r="88" spans="2:19" ht="28.5" x14ac:dyDescent="0.25">
      <c r="B88" s="859">
        <v>39051</v>
      </c>
      <c r="C88" s="558" t="s">
        <v>2349</v>
      </c>
      <c r="D88" s="558"/>
      <c r="E88" s="565" t="s">
        <v>81</v>
      </c>
      <c r="F88" s="548" t="s">
        <v>127</v>
      </c>
      <c r="G88" s="559" t="s">
        <v>123</v>
      </c>
      <c r="H88" s="548" t="s">
        <v>28</v>
      </c>
      <c r="I88" s="548" t="s">
        <v>67</v>
      </c>
      <c r="J88" s="548" t="s">
        <v>68</v>
      </c>
      <c r="K88" s="560">
        <v>394.4</v>
      </c>
      <c r="L88" s="561">
        <v>33.33</v>
      </c>
      <c r="M88" s="552">
        <f t="shared" si="5"/>
        <v>11.833183318331834</v>
      </c>
      <c r="N88" s="562">
        <v>60</v>
      </c>
      <c r="O88" s="563">
        <f t="shared" si="6"/>
        <v>6.5733333333333333</v>
      </c>
      <c r="P88" s="564">
        <f t="shared" ca="1" si="7"/>
        <v>227</v>
      </c>
      <c r="Q88" s="552">
        <f t="shared" ca="1" si="8"/>
        <v>-1097.7466666666669</v>
      </c>
      <c r="R88" s="563">
        <f t="shared" ca="1" si="9"/>
        <v>1</v>
      </c>
      <c r="S88" s="565" t="s">
        <v>20</v>
      </c>
    </row>
    <row r="89" spans="2:19" ht="42.75" x14ac:dyDescent="0.25">
      <c r="B89" s="859">
        <v>39051</v>
      </c>
      <c r="C89" s="558" t="s">
        <v>2349</v>
      </c>
      <c r="D89" s="558"/>
      <c r="E89" s="565" t="s">
        <v>81</v>
      </c>
      <c r="F89" s="548" t="s">
        <v>117</v>
      </c>
      <c r="G89" s="559" t="s">
        <v>118</v>
      </c>
      <c r="H89" s="548" t="s">
        <v>28</v>
      </c>
      <c r="I89" s="548" t="s">
        <v>67</v>
      </c>
      <c r="J89" s="548" t="s">
        <v>68</v>
      </c>
      <c r="K89" s="560">
        <v>6243.2</v>
      </c>
      <c r="L89" s="561">
        <v>33.33</v>
      </c>
      <c r="M89" s="552">
        <f t="shared" si="5"/>
        <v>187.31473147314733</v>
      </c>
      <c r="N89" s="562">
        <v>60</v>
      </c>
      <c r="O89" s="563">
        <f t="shared" si="6"/>
        <v>104.05333333333333</v>
      </c>
      <c r="P89" s="564">
        <f t="shared" ca="1" si="7"/>
        <v>227</v>
      </c>
      <c r="Q89" s="552">
        <f t="shared" ca="1" si="8"/>
        <v>-17376.906666666666</v>
      </c>
      <c r="R89" s="563">
        <f t="shared" ca="1" si="9"/>
        <v>1</v>
      </c>
      <c r="S89" s="565" t="s">
        <v>20</v>
      </c>
    </row>
    <row r="90" spans="2:19" ht="42.75" x14ac:dyDescent="0.25">
      <c r="B90" s="859">
        <v>39051</v>
      </c>
      <c r="C90" s="558" t="s">
        <v>2349</v>
      </c>
      <c r="D90" s="558"/>
      <c r="E90" s="565" t="s">
        <v>81</v>
      </c>
      <c r="F90" s="548" t="s">
        <v>119</v>
      </c>
      <c r="G90" s="559" t="s">
        <v>118</v>
      </c>
      <c r="H90" s="548" t="s">
        <v>28</v>
      </c>
      <c r="I90" s="548" t="s">
        <v>67</v>
      </c>
      <c r="J90" s="548" t="s">
        <v>68</v>
      </c>
      <c r="K90" s="560">
        <v>6243.2</v>
      </c>
      <c r="L90" s="561">
        <v>33.33</v>
      </c>
      <c r="M90" s="552">
        <f t="shared" si="5"/>
        <v>187.31473147314733</v>
      </c>
      <c r="N90" s="562">
        <v>60</v>
      </c>
      <c r="O90" s="563">
        <f t="shared" si="6"/>
        <v>104.05333333333333</v>
      </c>
      <c r="P90" s="564">
        <f t="shared" ca="1" si="7"/>
        <v>227</v>
      </c>
      <c r="Q90" s="552">
        <f t="shared" ca="1" si="8"/>
        <v>-17376.906666666666</v>
      </c>
      <c r="R90" s="563">
        <f t="shared" ca="1" si="9"/>
        <v>1</v>
      </c>
      <c r="S90" s="565" t="s">
        <v>20</v>
      </c>
    </row>
    <row r="91" spans="2:19" ht="42.75" x14ac:dyDescent="0.25">
      <c r="B91" s="859">
        <v>39051</v>
      </c>
      <c r="C91" s="558" t="s">
        <v>2349</v>
      </c>
      <c r="D91" s="558"/>
      <c r="E91" s="565" t="s">
        <v>81</v>
      </c>
      <c r="F91" s="548" t="s">
        <v>120</v>
      </c>
      <c r="G91" s="559" t="s">
        <v>118</v>
      </c>
      <c r="H91" s="548" t="s">
        <v>28</v>
      </c>
      <c r="I91" s="548" t="s">
        <v>67</v>
      </c>
      <c r="J91" s="548" t="s">
        <v>68</v>
      </c>
      <c r="K91" s="560">
        <v>6243.2</v>
      </c>
      <c r="L91" s="561">
        <v>33.33</v>
      </c>
      <c r="M91" s="552">
        <f t="shared" si="5"/>
        <v>187.31473147314733</v>
      </c>
      <c r="N91" s="562">
        <v>60</v>
      </c>
      <c r="O91" s="563">
        <f t="shared" si="6"/>
        <v>104.05333333333333</v>
      </c>
      <c r="P91" s="564">
        <f t="shared" ca="1" si="7"/>
        <v>227</v>
      </c>
      <c r="Q91" s="552">
        <f t="shared" ca="1" si="8"/>
        <v>-17376.906666666666</v>
      </c>
      <c r="R91" s="563">
        <f t="shared" ca="1" si="9"/>
        <v>1</v>
      </c>
      <c r="S91" s="565" t="s">
        <v>20</v>
      </c>
    </row>
    <row r="92" spans="2:19" ht="42.75" x14ac:dyDescent="0.25">
      <c r="B92" s="859">
        <v>39051</v>
      </c>
      <c r="C92" s="558" t="s">
        <v>2349</v>
      </c>
      <c r="D92" s="558"/>
      <c r="E92" s="565" t="s">
        <v>81</v>
      </c>
      <c r="F92" s="548" t="s">
        <v>121</v>
      </c>
      <c r="G92" s="559" t="s">
        <v>118</v>
      </c>
      <c r="H92" s="548" t="s">
        <v>28</v>
      </c>
      <c r="I92" s="548" t="s">
        <v>67</v>
      </c>
      <c r="J92" s="548" t="s">
        <v>68</v>
      </c>
      <c r="K92" s="560">
        <v>6243.2</v>
      </c>
      <c r="L92" s="561">
        <v>33.33</v>
      </c>
      <c r="M92" s="552">
        <f t="shared" si="5"/>
        <v>187.31473147314733</v>
      </c>
      <c r="N92" s="562">
        <v>60</v>
      </c>
      <c r="O92" s="563">
        <f t="shared" si="6"/>
        <v>104.05333333333333</v>
      </c>
      <c r="P92" s="564">
        <f t="shared" ca="1" si="7"/>
        <v>227</v>
      </c>
      <c r="Q92" s="552">
        <f t="shared" ca="1" si="8"/>
        <v>-17376.906666666666</v>
      </c>
      <c r="R92" s="563">
        <f t="shared" ca="1" si="9"/>
        <v>1</v>
      </c>
      <c r="S92" s="565" t="s">
        <v>20</v>
      </c>
    </row>
    <row r="93" spans="2:19" ht="42.75" x14ac:dyDescent="0.25">
      <c r="B93" s="859">
        <v>39051</v>
      </c>
      <c r="C93" s="558" t="s">
        <v>2349</v>
      </c>
      <c r="D93" s="558"/>
      <c r="E93" s="565" t="s">
        <v>81</v>
      </c>
      <c r="F93" s="548" t="s">
        <v>114</v>
      </c>
      <c r="G93" s="559" t="s">
        <v>115</v>
      </c>
      <c r="H93" s="548" t="s">
        <v>28</v>
      </c>
      <c r="I93" s="548" t="s">
        <v>67</v>
      </c>
      <c r="J93" s="548" t="s">
        <v>68</v>
      </c>
      <c r="K93" s="560">
        <v>5026.3999999999996</v>
      </c>
      <c r="L93" s="561">
        <v>33.33</v>
      </c>
      <c r="M93" s="552">
        <f t="shared" si="5"/>
        <v>150.8070807080708</v>
      </c>
      <c r="N93" s="562">
        <v>60</v>
      </c>
      <c r="O93" s="563">
        <f t="shared" si="6"/>
        <v>83.773333333333326</v>
      </c>
      <c r="P93" s="564">
        <f t="shared" ca="1" si="7"/>
        <v>227</v>
      </c>
      <c r="Q93" s="552">
        <f t="shared" ca="1" si="8"/>
        <v>-13990.146666666666</v>
      </c>
      <c r="R93" s="563">
        <f t="shared" ca="1" si="9"/>
        <v>1</v>
      </c>
      <c r="S93" s="565" t="s">
        <v>20</v>
      </c>
    </row>
    <row r="94" spans="2:19" ht="42.75" x14ac:dyDescent="0.25">
      <c r="B94" s="859">
        <v>39051</v>
      </c>
      <c r="C94" s="558" t="s">
        <v>2349</v>
      </c>
      <c r="D94" s="558"/>
      <c r="E94" s="565" t="s">
        <v>81</v>
      </c>
      <c r="F94" s="548" t="s">
        <v>116</v>
      </c>
      <c r="G94" s="559" t="s">
        <v>115</v>
      </c>
      <c r="H94" s="548" t="s">
        <v>28</v>
      </c>
      <c r="I94" s="548" t="s">
        <v>67</v>
      </c>
      <c r="J94" s="548" t="s">
        <v>68</v>
      </c>
      <c r="K94" s="560">
        <v>5026.3999999999996</v>
      </c>
      <c r="L94" s="561">
        <v>33.33</v>
      </c>
      <c r="M94" s="552">
        <f t="shared" si="5"/>
        <v>150.8070807080708</v>
      </c>
      <c r="N94" s="562">
        <v>60</v>
      </c>
      <c r="O94" s="563">
        <f t="shared" si="6"/>
        <v>83.773333333333326</v>
      </c>
      <c r="P94" s="564">
        <f t="shared" ca="1" si="7"/>
        <v>227</v>
      </c>
      <c r="Q94" s="552">
        <f t="shared" ca="1" si="8"/>
        <v>-13990.146666666666</v>
      </c>
      <c r="R94" s="563">
        <f t="shared" ca="1" si="9"/>
        <v>1</v>
      </c>
      <c r="S94" s="565" t="s">
        <v>20</v>
      </c>
    </row>
    <row r="95" spans="2:19" ht="28.5" x14ac:dyDescent="0.25">
      <c r="B95" s="859">
        <v>39051</v>
      </c>
      <c r="C95" s="558" t="s">
        <v>2349</v>
      </c>
      <c r="D95" s="558"/>
      <c r="E95" s="565" t="s">
        <v>81</v>
      </c>
      <c r="F95" s="548" t="s">
        <v>108</v>
      </c>
      <c r="G95" s="559" t="s">
        <v>109</v>
      </c>
      <c r="H95" s="548" t="s">
        <v>28</v>
      </c>
      <c r="I95" s="548" t="s">
        <v>67</v>
      </c>
      <c r="J95" s="548" t="s">
        <v>68</v>
      </c>
      <c r="K95" s="560">
        <v>4512</v>
      </c>
      <c r="L95" s="561">
        <v>33.33</v>
      </c>
      <c r="M95" s="552">
        <f t="shared" si="5"/>
        <v>135.37353735373537</v>
      </c>
      <c r="N95" s="562">
        <v>60</v>
      </c>
      <c r="O95" s="563">
        <f t="shared" si="6"/>
        <v>75.2</v>
      </c>
      <c r="P95" s="564">
        <f t="shared" ca="1" si="7"/>
        <v>227</v>
      </c>
      <c r="Q95" s="552">
        <f t="shared" ca="1" si="8"/>
        <v>-12558.400000000001</v>
      </c>
      <c r="R95" s="563">
        <f t="shared" ca="1" si="9"/>
        <v>1</v>
      </c>
      <c r="S95" s="565" t="s">
        <v>20</v>
      </c>
    </row>
    <row r="96" spans="2:19" ht="28.5" x14ac:dyDescent="0.25">
      <c r="B96" s="859">
        <v>39051</v>
      </c>
      <c r="C96" s="558" t="s">
        <v>2349</v>
      </c>
      <c r="D96" s="558"/>
      <c r="E96" s="565" t="s">
        <v>81</v>
      </c>
      <c r="F96" s="548" t="s">
        <v>110</v>
      </c>
      <c r="G96" s="559" t="s">
        <v>109</v>
      </c>
      <c r="H96" s="548" t="s">
        <v>28</v>
      </c>
      <c r="I96" s="548" t="s">
        <v>67</v>
      </c>
      <c r="J96" s="548" t="s">
        <v>68</v>
      </c>
      <c r="K96" s="560">
        <v>4512</v>
      </c>
      <c r="L96" s="561">
        <v>33.33</v>
      </c>
      <c r="M96" s="552">
        <f t="shared" si="5"/>
        <v>135.37353735373537</v>
      </c>
      <c r="N96" s="562">
        <v>60</v>
      </c>
      <c r="O96" s="563">
        <f t="shared" si="6"/>
        <v>75.2</v>
      </c>
      <c r="P96" s="564">
        <f t="shared" ca="1" si="7"/>
        <v>227</v>
      </c>
      <c r="Q96" s="552">
        <f t="shared" ca="1" si="8"/>
        <v>-12558.400000000001</v>
      </c>
      <c r="R96" s="563">
        <f t="shared" ca="1" si="9"/>
        <v>1</v>
      </c>
      <c r="S96" s="565" t="s">
        <v>20</v>
      </c>
    </row>
    <row r="97" spans="2:19" ht="28.5" x14ac:dyDescent="0.25">
      <c r="B97" s="859">
        <v>39051</v>
      </c>
      <c r="C97" s="558" t="s">
        <v>2349</v>
      </c>
      <c r="D97" s="558"/>
      <c r="E97" s="565" t="s">
        <v>81</v>
      </c>
      <c r="F97" s="548" t="s">
        <v>111</v>
      </c>
      <c r="G97" s="559" t="s">
        <v>109</v>
      </c>
      <c r="H97" s="548" t="s">
        <v>28</v>
      </c>
      <c r="I97" s="548" t="s">
        <v>67</v>
      </c>
      <c r="J97" s="548" t="s">
        <v>68</v>
      </c>
      <c r="K97" s="560">
        <v>4512</v>
      </c>
      <c r="L97" s="561">
        <v>33.33</v>
      </c>
      <c r="M97" s="552">
        <f t="shared" si="5"/>
        <v>135.37353735373537</v>
      </c>
      <c r="N97" s="562">
        <v>60</v>
      </c>
      <c r="O97" s="563">
        <f t="shared" si="6"/>
        <v>75.2</v>
      </c>
      <c r="P97" s="564">
        <f t="shared" ca="1" si="7"/>
        <v>227</v>
      </c>
      <c r="Q97" s="552">
        <f t="shared" ca="1" si="8"/>
        <v>-12558.400000000001</v>
      </c>
      <c r="R97" s="563">
        <f t="shared" ca="1" si="9"/>
        <v>1</v>
      </c>
      <c r="S97" s="565" t="s">
        <v>20</v>
      </c>
    </row>
    <row r="98" spans="2:19" ht="28.5" x14ac:dyDescent="0.25">
      <c r="B98" s="859">
        <v>39051</v>
      </c>
      <c r="C98" s="558" t="s">
        <v>2349</v>
      </c>
      <c r="D98" s="558"/>
      <c r="E98" s="565" t="s">
        <v>81</v>
      </c>
      <c r="F98" s="548" t="s">
        <v>112</v>
      </c>
      <c r="G98" s="559" t="s">
        <v>109</v>
      </c>
      <c r="H98" s="548" t="s">
        <v>28</v>
      </c>
      <c r="I98" s="548" t="s">
        <v>67</v>
      </c>
      <c r="J98" s="548" t="s">
        <v>68</v>
      </c>
      <c r="K98" s="560">
        <v>4512</v>
      </c>
      <c r="L98" s="561">
        <v>33.33</v>
      </c>
      <c r="M98" s="552">
        <f t="shared" si="5"/>
        <v>135.37353735373537</v>
      </c>
      <c r="N98" s="562">
        <v>60</v>
      </c>
      <c r="O98" s="563">
        <f t="shared" si="6"/>
        <v>75.2</v>
      </c>
      <c r="P98" s="564">
        <f t="shared" ca="1" si="7"/>
        <v>227</v>
      </c>
      <c r="Q98" s="552">
        <f t="shared" ca="1" si="8"/>
        <v>-12558.400000000001</v>
      </c>
      <c r="R98" s="563">
        <f t="shared" ca="1" si="9"/>
        <v>1</v>
      </c>
      <c r="S98" s="565" t="s">
        <v>20</v>
      </c>
    </row>
    <row r="99" spans="2:19" ht="28.5" x14ac:dyDescent="0.25">
      <c r="B99" s="859">
        <v>39051</v>
      </c>
      <c r="C99" s="558" t="s">
        <v>2349</v>
      </c>
      <c r="D99" s="558"/>
      <c r="E99" s="565" t="s">
        <v>81</v>
      </c>
      <c r="F99" s="548" t="s">
        <v>113</v>
      </c>
      <c r="G99" s="559" t="s">
        <v>109</v>
      </c>
      <c r="H99" s="548" t="s">
        <v>28</v>
      </c>
      <c r="I99" s="548" t="s">
        <v>67</v>
      </c>
      <c r="J99" s="548" t="s">
        <v>68</v>
      </c>
      <c r="K99" s="560">
        <v>4512</v>
      </c>
      <c r="L99" s="561">
        <v>33.33</v>
      </c>
      <c r="M99" s="552">
        <f t="shared" si="5"/>
        <v>135.37353735373537</v>
      </c>
      <c r="N99" s="562">
        <v>60</v>
      </c>
      <c r="O99" s="563">
        <f t="shared" si="6"/>
        <v>75.2</v>
      </c>
      <c r="P99" s="564">
        <f t="shared" ca="1" si="7"/>
        <v>227</v>
      </c>
      <c r="Q99" s="552">
        <f t="shared" ca="1" si="8"/>
        <v>-12558.400000000001</v>
      </c>
      <c r="R99" s="563">
        <f t="shared" ca="1" si="9"/>
        <v>1</v>
      </c>
      <c r="S99" s="565" t="s">
        <v>20</v>
      </c>
    </row>
    <row r="100" spans="2:19" ht="42.75" x14ac:dyDescent="0.25">
      <c r="B100" s="859">
        <v>39051</v>
      </c>
      <c r="C100" s="558" t="s">
        <v>2349</v>
      </c>
      <c r="D100" s="558"/>
      <c r="E100" s="565" t="s">
        <v>81</v>
      </c>
      <c r="F100" s="548" t="s">
        <v>105</v>
      </c>
      <c r="G100" s="559" t="s">
        <v>106</v>
      </c>
      <c r="H100" s="548" t="s">
        <v>28</v>
      </c>
      <c r="I100" s="548" t="s">
        <v>67</v>
      </c>
      <c r="J100" s="548" t="s">
        <v>68</v>
      </c>
      <c r="K100" s="560">
        <v>1708</v>
      </c>
      <c r="L100" s="561">
        <v>33.33</v>
      </c>
      <c r="M100" s="552">
        <f t="shared" si="5"/>
        <v>51.245124512451248</v>
      </c>
      <c r="N100" s="562">
        <v>60</v>
      </c>
      <c r="O100" s="563">
        <f t="shared" si="6"/>
        <v>28.466666666666665</v>
      </c>
      <c r="P100" s="564">
        <f t="shared" ca="1" si="7"/>
        <v>227</v>
      </c>
      <c r="Q100" s="552">
        <f t="shared" ca="1" si="8"/>
        <v>-4753.9333333333334</v>
      </c>
      <c r="R100" s="563">
        <f t="shared" ca="1" si="9"/>
        <v>1</v>
      </c>
      <c r="S100" s="565" t="s">
        <v>20</v>
      </c>
    </row>
    <row r="101" spans="2:19" ht="42.75" x14ac:dyDescent="0.25">
      <c r="B101" s="859">
        <v>39051</v>
      </c>
      <c r="C101" s="558" t="s">
        <v>2349</v>
      </c>
      <c r="D101" s="558"/>
      <c r="E101" s="565" t="s">
        <v>81</v>
      </c>
      <c r="F101" s="548" t="s">
        <v>107</v>
      </c>
      <c r="G101" s="559" t="s">
        <v>106</v>
      </c>
      <c r="H101" s="548" t="s">
        <v>28</v>
      </c>
      <c r="I101" s="548" t="s">
        <v>67</v>
      </c>
      <c r="J101" s="548" t="s">
        <v>68</v>
      </c>
      <c r="K101" s="560">
        <v>1708</v>
      </c>
      <c r="L101" s="561">
        <v>33.33</v>
      </c>
      <c r="M101" s="552">
        <f t="shared" si="5"/>
        <v>51.245124512451248</v>
      </c>
      <c r="N101" s="562">
        <v>60</v>
      </c>
      <c r="O101" s="563">
        <f t="shared" si="6"/>
        <v>28.466666666666665</v>
      </c>
      <c r="P101" s="564">
        <f t="shared" ca="1" si="7"/>
        <v>227</v>
      </c>
      <c r="Q101" s="552">
        <f t="shared" ca="1" si="8"/>
        <v>-4753.9333333333334</v>
      </c>
      <c r="R101" s="563">
        <f t="shared" ca="1" si="9"/>
        <v>1</v>
      </c>
      <c r="S101" s="565" t="s">
        <v>20</v>
      </c>
    </row>
    <row r="102" spans="2:19" ht="28.5" x14ac:dyDescent="0.25">
      <c r="B102" s="859">
        <v>39051</v>
      </c>
      <c r="C102" s="558" t="s">
        <v>2349</v>
      </c>
      <c r="D102" s="558"/>
      <c r="E102" s="565" t="s">
        <v>81</v>
      </c>
      <c r="F102" s="548" t="s">
        <v>103</v>
      </c>
      <c r="G102" s="559" t="s">
        <v>104</v>
      </c>
      <c r="H102" s="548" t="s">
        <v>28</v>
      </c>
      <c r="I102" s="548" t="s">
        <v>67</v>
      </c>
      <c r="J102" s="548" t="s">
        <v>68</v>
      </c>
      <c r="K102" s="560">
        <v>1690.4</v>
      </c>
      <c r="L102" s="561">
        <v>33.33</v>
      </c>
      <c r="M102" s="552">
        <f t="shared" si="5"/>
        <v>50.717071707170724</v>
      </c>
      <c r="N102" s="562">
        <v>60</v>
      </c>
      <c r="O102" s="563">
        <f t="shared" si="6"/>
        <v>28.173333333333336</v>
      </c>
      <c r="P102" s="564">
        <f t="shared" ca="1" si="7"/>
        <v>227</v>
      </c>
      <c r="Q102" s="552">
        <f t="shared" ca="1" si="8"/>
        <v>-4704.9466666666667</v>
      </c>
      <c r="R102" s="563">
        <f t="shared" ca="1" si="9"/>
        <v>1</v>
      </c>
      <c r="S102" s="565" t="s">
        <v>20</v>
      </c>
    </row>
    <row r="103" spans="2:19" ht="42.75" x14ac:dyDescent="0.25">
      <c r="B103" s="859">
        <v>39051</v>
      </c>
      <c r="C103" s="558" t="s">
        <v>2349</v>
      </c>
      <c r="D103" s="558"/>
      <c r="E103" s="565" t="s">
        <v>81</v>
      </c>
      <c r="F103" s="548" t="s">
        <v>96</v>
      </c>
      <c r="G103" s="559" t="s">
        <v>97</v>
      </c>
      <c r="H103" s="548" t="s">
        <v>28</v>
      </c>
      <c r="I103" s="548" t="s">
        <v>67</v>
      </c>
      <c r="J103" s="548" t="s">
        <v>68</v>
      </c>
      <c r="K103" s="560">
        <v>3472.8</v>
      </c>
      <c r="L103" s="561">
        <v>33.33</v>
      </c>
      <c r="M103" s="552">
        <f t="shared" si="5"/>
        <v>104.19441944194421</v>
      </c>
      <c r="N103" s="562">
        <v>60</v>
      </c>
      <c r="O103" s="563">
        <f t="shared" si="6"/>
        <v>57.88</v>
      </c>
      <c r="P103" s="564">
        <f t="shared" ca="1" si="7"/>
        <v>227</v>
      </c>
      <c r="Q103" s="552">
        <f t="shared" ca="1" si="8"/>
        <v>-9665.9599999999991</v>
      </c>
      <c r="R103" s="563">
        <f t="shared" ca="1" si="9"/>
        <v>1</v>
      </c>
      <c r="S103" s="565" t="s">
        <v>20</v>
      </c>
    </row>
    <row r="104" spans="2:19" ht="42.75" x14ac:dyDescent="0.25">
      <c r="B104" s="859">
        <v>39051</v>
      </c>
      <c r="C104" s="558" t="s">
        <v>2349</v>
      </c>
      <c r="D104" s="558"/>
      <c r="E104" s="565" t="s">
        <v>81</v>
      </c>
      <c r="F104" s="548" t="s">
        <v>98</v>
      </c>
      <c r="G104" s="559" t="s">
        <v>97</v>
      </c>
      <c r="H104" s="548" t="s">
        <v>28</v>
      </c>
      <c r="I104" s="548" t="s">
        <v>67</v>
      </c>
      <c r="J104" s="548" t="s">
        <v>68</v>
      </c>
      <c r="K104" s="560">
        <v>3472.8</v>
      </c>
      <c r="L104" s="561">
        <v>33.33</v>
      </c>
      <c r="M104" s="552">
        <f t="shared" si="5"/>
        <v>104.19441944194421</v>
      </c>
      <c r="N104" s="562">
        <v>60</v>
      </c>
      <c r="O104" s="563">
        <f t="shared" si="6"/>
        <v>57.88</v>
      </c>
      <c r="P104" s="564">
        <f t="shared" ca="1" si="7"/>
        <v>227</v>
      </c>
      <c r="Q104" s="552">
        <f t="shared" ca="1" si="8"/>
        <v>-9665.9599999999991</v>
      </c>
      <c r="R104" s="563">
        <f t="shared" ca="1" si="9"/>
        <v>1</v>
      </c>
      <c r="S104" s="565" t="s">
        <v>20</v>
      </c>
    </row>
    <row r="105" spans="2:19" ht="42.75" x14ac:dyDescent="0.25">
      <c r="B105" s="859">
        <v>39051</v>
      </c>
      <c r="C105" s="558" t="s">
        <v>2349</v>
      </c>
      <c r="D105" s="558"/>
      <c r="E105" s="565" t="s">
        <v>81</v>
      </c>
      <c r="F105" s="548" t="s">
        <v>99</v>
      </c>
      <c r="G105" s="559" t="s">
        <v>97</v>
      </c>
      <c r="H105" s="548" t="s">
        <v>28</v>
      </c>
      <c r="I105" s="548" t="s">
        <v>67</v>
      </c>
      <c r="J105" s="548" t="s">
        <v>68</v>
      </c>
      <c r="K105" s="560">
        <v>3472.8</v>
      </c>
      <c r="L105" s="561">
        <v>33.33</v>
      </c>
      <c r="M105" s="552">
        <f t="shared" si="5"/>
        <v>104.19441944194421</v>
      </c>
      <c r="N105" s="562">
        <v>60</v>
      </c>
      <c r="O105" s="563">
        <f t="shared" si="6"/>
        <v>57.88</v>
      </c>
      <c r="P105" s="564">
        <f t="shared" ca="1" si="7"/>
        <v>227</v>
      </c>
      <c r="Q105" s="552">
        <f t="shared" ca="1" si="8"/>
        <v>-9665.9599999999991</v>
      </c>
      <c r="R105" s="563">
        <f t="shared" ca="1" si="9"/>
        <v>1</v>
      </c>
      <c r="S105" s="565" t="s">
        <v>20</v>
      </c>
    </row>
    <row r="106" spans="2:19" ht="42.75" x14ac:dyDescent="0.25">
      <c r="B106" s="859">
        <v>39051</v>
      </c>
      <c r="C106" s="558" t="s">
        <v>2349</v>
      </c>
      <c r="D106" s="558"/>
      <c r="E106" s="565" t="s">
        <v>81</v>
      </c>
      <c r="F106" s="548" t="s">
        <v>100</v>
      </c>
      <c r="G106" s="559" t="s">
        <v>97</v>
      </c>
      <c r="H106" s="548" t="s">
        <v>28</v>
      </c>
      <c r="I106" s="548" t="s">
        <v>67</v>
      </c>
      <c r="J106" s="548" t="s">
        <v>68</v>
      </c>
      <c r="K106" s="560">
        <v>3472.8</v>
      </c>
      <c r="L106" s="561">
        <v>33.33</v>
      </c>
      <c r="M106" s="552">
        <f t="shared" si="5"/>
        <v>104.19441944194421</v>
      </c>
      <c r="N106" s="562">
        <v>60</v>
      </c>
      <c r="O106" s="563">
        <f t="shared" si="6"/>
        <v>57.88</v>
      </c>
      <c r="P106" s="564">
        <f t="shared" ca="1" si="7"/>
        <v>227</v>
      </c>
      <c r="Q106" s="552">
        <f t="shared" ca="1" si="8"/>
        <v>-9665.9599999999991</v>
      </c>
      <c r="R106" s="563">
        <f t="shared" ca="1" si="9"/>
        <v>1</v>
      </c>
      <c r="S106" s="565" t="s">
        <v>20</v>
      </c>
    </row>
    <row r="107" spans="2:19" ht="42.75" x14ac:dyDescent="0.25">
      <c r="B107" s="859">
        <v>39051</v>
      </c>
      <c r="C107" s="558" t="s">
        <v>2349</v>
      </c>
      <c r="D107" s="558"/>
      <c r="E107" s="565" t="s">
        <v>81</v>
      </c>
      <c r="F107" s="548" t="s">
        <v>101</v>
      </c>
      <c r="G107" s="559" t="s">
        <v>97</v>
      </c>
      <c r="H107" s="548" t="s">
        <v>28</v>
      </c>
      <c r="I107" s="548" t="s">
        <v>67</v>
      </c>
      <c r="J107" s="548" t="s">
        <v>68</v>
      </c>
      <c r="K107" s="560">
        <v>3472.8</v>
      </c>
      <c r="L107" s="561">
        <v>33.33</v>
      </c>
      <c r="M107" s="552">
        <f t="shared" si="5"/>
        <v>104.19441944194421</v>
      </c>
      <c r="N107" s="562">
        <v>60</v>
      </c>
      <c r="O107" s="563">
        <f t="shared" si="6"/>
        <v>57.88</v>
      </c>
      <c r="P107" s="564">
        <f t="shared" ca="1" si="7"/>
        <v>227</v>
      </c>
      <c r="Q107" s="552">
        <f t="shared" ca="1" si="8"/>
        <v>-9665.9599999999991</v>
      </c>
      <c r="R107" s="563">
        <f t="shared" ca="1" si="9"/>
        <v>1</v>
      </c>
      <c r="S107" s="565" t="s">
        <v>20</v>
      </c>
    </row>
    <row r="108" spans="2:19" ht="42.75" x14ac:dyDescent="0.25">
      <c r="B108" s="859">
        <v>39051</v>
      </c>
      <c r="C108" s="558" t="s">
        <v>2349</v>
      </c>
      <c r="D108" s="558"/>
      <c r="E108" s="565" t="s">
        <v>81</v>
      </c>
      <c r="F108" s="548" t="s">
        <v>102</v>
      </c>
      <c r="G108" s="559" t="s">
        <v>97</v>
      </c>
      <c r="H108" s="548" t="s">
        <v>28</v>
      </c>
      <c r="I108" s="548" t="s">
        <v>67</v>
      </c>
      <c r="J108" s="548" t="s">
        <v>68</v>
      </c>
      <c r="K108" s="560">
        <v>3472.8</v>
      </c>
      <c r="L108" s="561">
        <v>33.33</v>
      </c>
      <c r="M108" s="552">
        <f t="shared" si="5"/>
        <v>104.19441944194421</v>
      </c>
      <c r="N108" s="562">
        <v>60</v>
      </c>
      <c r="O108" s="563">
        <f t="shared" si="6"/>
        <v>57.88</v>
      </c>
      <c r="P108" s="564">
        <f t="shared" ca="1" si="7"/>
        <v>227</v>
      </c>
      <c r="Q108" s="552">
        <f t="shared" ca="1" si="8"/>
        <v>-9665.9599999999991</v>
      </c>
      <c r="R108" s="563">
        <f t="shared" ca="1" si="9"/>
        <v>1</v>
      </c>
      <c r="S108" s="565" t="s">
        <v>20</v>
      </c>
    </row>
    <row r="109" spans="2:19" ht="42.75" x14ac:dyDescent="0.25">
      <c r="B109" s="859">
        <v>39051</v>
      </c>
      <c r="C109" s="558" t="s">
        <v>2349</v>
      </c>
      <c r="D109" s="558"/>
      <c r="E109" s="565" t="s">
        <v>81</v>
      </c>
      <c r="F109" s="548" t="s">
        <v>92</v>
      </c>
      <c r="G109" s="559" t="s">
        <v>93</v>
      </c>
      <c r="H109" s="548" t="s">
        <v>28</v>
      </c>
      <c r="I109" s="548" t="s">
        <v>67</v>
      </c>
      <c r="J109" s="548" t="s">
        <v>68</v>
      </c>
      <c r="K109" s="560">
        <v>6779.7</v>
      </c>
      <c r="L109" s="561">
        <v>33.33</v>
      </c>
      <c r="M109" s="552">
        <f t="shared" si="5"/>
        <v>203.41134113411343</v>
      </c>
      <c r="N109" s="562">
        <v>60</v>
      </c>
      <c r="O109" s="563">
        <f t="shared" si="6"/>
        <v>112.99499999999999</v>
      </c>
      <c r="P109" s="564">
        <f t="shared" ca="1" si="7"/>
        <v>227</v>
      </c>
      <c r="Q109" s="552">
        <f t="shared" ca="1" si="8"/>
        <v>-18870.164999999997</v>
      </c>
      <c r="R109" s="563">
        <f t="shared" ca="1" si="9"/>
        <v>1</v>
      </c>
      <c r="S109" s="565" t="s">
        <v>20</v>
      </c>
    </row>
    <row r="110" spans="2:19" ht="42.75" x14ac:dyDescent="0.25">
      <c r="B110" s="859">
        <v>39051</v>
      </c>
      <c r="C110" s="558" t="s">
        <v>2349</v>
      </c>
      <c r="D110" s="558"/>
      <c r="E110" s="565" t="s">
        <v>81</v>
      </c>
      <c r="F110" s="548" t="s">
        <v>94</v>
      </c>
      <c r="G110" s="559" t="s">
        <v>93</v>
      </c>
      <c r="H110" s="548" t="s">
        <v>28</v>
      </c>
      <c r="I110" s="548" t="s">
        <v>67</v>
      </c>
      <c r="J110" s="548" t="s">
        <v>68</v>
      </c>
      <c r="K110" s="560">
        <v>6779.7</v>
      </c>
      <c r="L110" s="561">
        <v>33.33</v>
      </c>
      <c r="M110" s="552">
        <f t="shared" si="5"/>
        <v>203.41134113411343</v>
      </c>
      <c r="N110" s="562">
        <v>60</v>
      </c>
      <c r="O110" s="563">
        <f t="shared" si="6"/>
        <v>112.99499999999999</v>
      </c>
      <c r="P110" s="564">
        <f t="shared" ca="1" si="7"/>
        <v>227</v>
      </c>
      <c r="Q110" s="552">
        <f t="shared" ca="1" si="8"/>
        <v>-18870.164999999997</v>
      </c>
      <c r="R110" s="563">
        <f t="shared" ca="1" si="9"/>
        <v>1</v>
      </c>
      <c r="S110" s="565" t="s">
        <v>20</v>
      </c>
    </row>
    <row r="111" spans="2:19" ht="42.75" x14ac:dyDescent="0.25">
      <c r="B111" s="859">
        <v>39051</v>
      </c>
      <c r="C111" s="558" t="s">
        <v>2349</v>
      </c>
      <c r="D111" s="558"/>
      <c r="E111" s="565" t="s">
        <v>81</v>
      </c>
      <c r="F111" s="548" t="s">
        <v>95</v>
      </c>
      <c r="G111" s="559" t="s">
        <v>93</v>
      </c>
      <c r="H111" s="548" t="s">
        <v>28</v>
      </c>
      <c r="I111" s="548" t="s">
        <v>67</v>
      </c>
      <c r="J111" s="548" t="s">
        <v>68</v>
      </c>
      <c r="K111" s="560">
        <v>6779.7</v>
      </c>
      <c r="L111" s="561">
        <v>33.33</v>
      </c>
      <c r="M111" s="552">
        <f t="shared" si="5"/>
        <v>203.41134113411343</v>
      </c>
      <c r="N111" s="562">
        <v>60</v>
      </c>
      <c r="O111" s="563">
        <f t="shared" si="6"/>
        <v>112.99499999999999</v>
      </c>
      <c r="P111" s="564">
        <f t="shared" ca="1" si="7"/>
        <v>227</v>
      </c>
      <c r="Q111" s="552">
        <f t="shared" ca="1" si="8"/>
        <v>-18870.164999999997</v>
      </c>
      <c r="R111" s="563">
        <f t="shared" ca="1" si="9"/>
        <v>1</v>
      </c>
      <c r="S111" s="565" t="s">
        <v>20</v>
      </c>
    </row>
    <row r="112" spans="2:19" ht="28.5" x14ac:dyDescent="0.25">
      <c r="B112" s="859">
        <v>39051</v>
      </c>
      <c r="C112" s="558" t="s">
        <v>2349</v>
      </c>
      <c r="D112" s="558"/>
      <c r="E112" s="565" t="s">
        <v>81</v>
      </c>
      <c r="F112" s="548" t="s">
        <v>88</v>
      </c>
      <c r="G112" s="559" t="s">
        <v>89</v>
      </c>
      <c r="H112" s="548" t="s">
        <v>28</v>
      </c>
      <c r="I112" s="548" t="s">
        <v>67</v>
      </c>
      <c r="J112" s="548" t="s">
        <v>68</v>
      </c>
      <c r="K112" s="560">
        <v>3280</v>
      </c>
      <c r="L112" s="561">
        <v>33.33</v>
      </c>
      <c r="M112" s="552">
        <f t="shared" si="5"/>
        <v>98.409840984098409</v>
      </c>
      <c r="N112" s="562">
        <v>60</v>
      </c>
      <c r="O112" s="563">
        <f t="shared" si="6"/>
        <v>54.666666666666664</v>
      </c>
      <c r="P112" s="564">
        <f t="shared" ca="1" si="7"/>
        <v>227</v>
      </c>
      <c r="Q112" s="552">
        <f t="shared" ca="1" si="8"/>
        <v>-9129.3333333333321</v>
      </c>
      <c r="R112" s="563">
        <f t="shared" ca="1" si="9"/>
        <v>1</v>
      </c>
      <c r="S112" s="565" t="s">
        <v>20</v>
      </c>
    </row>
    <row r="113" spans="2:19" ht="28.5" x14ac:dyDescent="0.25">
      <c r="B113" s="859">
        <v>39051</v>
      </c>
      <c r="C113" s="558" t="s">
        <v>2349</v>
      </c>
      <c r="D113" s="558"/>
      <c r="E113" s="565" t="s">
        <v>81</v>
      </c>
      <c r="F113" s="548" t="s">
        <v>90</v>
      </c>
      <c r="G113" s="559" t="s">
        <v>89</v>
      </c>
      <c r="H113" s="548" t="s">
        <v>28</v>
      </c>
      <c r="I113" s="548" t="s">
        <v>67</v>
      </c>
      <c r="J113" s="548" t="s">
        <v>68</v>
      </c>
      <c r="K113" s="560">
        <v>3280</v>
      </c>
      <c r="L113" s="561">
        <v>33.33</v>
      </c>
      <c r="M113" s="552">
        <f t="shared" si="5"/>
        <v>98.409840984098409</v>
      </c>
      <c r="N113" s="562">
        <v>60</v>
      </c>
      <c r="O113" s="563">
        <f t="shared" si="6"/>
        <v>54.666666666666664</v>
      </c>
      <c r="P113" s="564">
        <f t="shared" ca="1" si="7"/>
        <v>227</v>
      </c>
      <c r="Q113" s="552">
        <f t="shared" ca="1" si="8"/>
        <v>-9129.3333333333321</v>
      </c>
      <c r="R113" s="563">
        <f t="shared" ca="1" si="9"/>
        <v>1</v>
      </c>
      <c r="S113" s="565" t="s">
        <v>20</v>
      </c>
    </row>
    <row r="114" spans="2:19" ht="28.5" x14ac:dyDescent="0.25">
      <c r="B114" s="859">
        <v>39051</v>
      </c>
      <c r="C114" s="558" t="s">
        <v>2349</v>
      </c>
      <c r="D114" s="558"/>
      <c r="E114" s="565" t="s">
        <v>81</v>
      </c>
      <c r="F114" s="548" t="s">
        <v>91</v>
      </c>
      <c r="G114" s="559" t="s">
        <v>89</v>
      </c>
      <c r="H114" s="548" t="s">
        <v>28</v>
      </c>
      <c r="I114" s="548" t="s">
        <v>67</v>
      </c>
      <c r="J114" s="548" t="s">
        <v>68</v>
      </c>
      <c r="K114" s="560">
        <v>3280</v>
      </c>
      <c r="L114" s="561">
        <v>33.33</v>
      </c>
      <c r="M114" s="552">
        <f t="shared" si="5"/>
        <v>98.409840984098409</v>
      </c>
      <c r="N114" s="562">
        <v>60</v>
      </c>
      <c r="O114" s="563">
        <f t="shared" si="6"/>
        <v>54.666666666666664</v>
      </c>
      <c r="P114" s="564">
        <f t="shared" ca="1" si="7"/>
        <v>227</v>
      </c>
      <c r="Q114" s="552">
        <f t="shared" ca="1" si="8"/>
        <v>-9129.3333333333321</v>
      </c>
      <c r="R114" s="563">
        <f t="shared" ca="1" si="9"/>
        <v>1</v>
      </c>
      <c r="S114" s="565" t="s">
        <v>20</v>
      </c>
    </row>
    <row r="115" spans="2:19" ht="42.75" x14ac:dyDescent="0.25">
      <c r="B115" s="859">
        <v>39051</v>
      </c>
      <c r="C115" s="558" t="s">
        <v>2349</v>
      </c>
      <c r="D115" s="558"/>
      <c r="E115" s="565" t="s">
        <v>81</v>
      </c>
      <c r="F115" s="548" t="s">
        <v>83</v>
      </c>
      <c r="G115" s="559" t="s">
        <v>82</v>
      </c>
      <c r="H115" s="548" t="s">
        <v>28</v>
      </c>
      <c r="I115" s="548" t="s">
        <v>67</v>
      </c>
      <c r="J115" s="548" t="s">
        <v>68</v>
      </c>
      <c r="K115" s="560">
        <v>6643.8</v>
      </c>
      <c r="L115" s="561">
        <v>33.33</v>
      </c>
      <c r="M115" s="552">
        <f t="shared" si="5"/>
        <v>199.33393339333935</v>
      </c>
      <c r="N115" s="562">
        <v>60</v>
      </c>
      <c r="O115" s="563">
        <f t="shared" si="6"/>
        <v>110.73</v>
      </c>
      <c r="P115" s="564">
        <f t="shared" ca="1" si="7"/>
        <v>227</v>
      </c>
      <c r="Q115" s="552">
        <f t="shared" ca="1" si="8"/>
        <v>-18491.91</v>
      </c>
      <c r="R115" s="563">
        <f t="shared" ca="1" si="9"/>
        <v>1</v>
      </c>
      <c r="S115" s="565" t="s">
        <v>20</v>
      </c>
    </row>
    <row r="116" spans="2:19" ht="42.75" x14ac:dyDescent="0.25">
      <c r="B116" s="859">
        <v>39051</v>
      </c>
      <c r="C116" s="558" t="s">
        <v>2349</v>
      </c>
      <c r="D116" s="558"/>
      <c r="E116" s="565" t="s">
        <v>81</v>
      </c>
      <c r="F116" s="548" t="s">
        <v>84</v>
      </c>
      <c r="G116" s="559" t="s">
        <v>82</v>
      </c>
      <c r="H116" s="548" t="s">
        <v>28</v>
      </c>
      <c r="I116" s="548" t="s">
        <v>67</v>
      </c>
      <c r="J116" s="548" t="s">
        <v>68</v>
      </c>
      <c r="K116" s="560">
        <v>6643.8</v>
      </c>
      <c r="L116" s="561">
        <v>33.33</v>
      </c>
      <c r="M116" s="552">
        <f t="shared" si="5"/>
        <v>199.33393339333935</v>
      </c>
      <c r="N116" s="562">
        <v>60</v>
      </c>
      <c r="O116" s="563">
        <f t="shared" si="6"/>
        <v>110.73</v>
      </c>
      <c r="P116" s="564">
        <f t="shared" ca="1" si="7"/>
        <v>227</v>
      </c>
      <c r="Q116" s="552">
        <f t="shared" ca="1" si="8"/>
        <v>-18491.91</v>
      </c>
      <c r="R116" s="563">
        <f t="shared" ca="1" si="9"/>
        <v>1</v>
      </c>
      <c r="S116" s="565" t="s">
        <v>20</v>
      </c>
    </row>
    <row r="117" spans="2:19" ht="42.75" x14ac:dyDescent="0.25">
      <c r="B117" s="859">
        <v>39051</v>
      </c>
      <c r="C117" s="558" t="s">
        <v>2349</v>
      </c>
      <c r="D117" s="558"/>
      <c r="E117" s="565" t="s">
        <v>81</v>
      </c>
      <c r="F117" s="548" t="s">
        <v>85</v>
      </c>
      <c r="G117" s="559" t="s">
        <v>82</v>
      </c>
      <c r="H117" s="548" t="s">
        <v>28</v>
      </c>
      <c r="I117" s="548" t="s">
        <v>67</v>
      </c>
      <c r="J117" s="548" t="s">
        <v>68</v>
      </c>
      <c r="K117" s="560">
        <v>6643.8</v>
      </c>
      <c r="L117" s="561">
        <v>33.33</v>
      </c>
      <c r="M117" s="552">
        <f t="shared" si="5"/>
        <v>199.33393339333935</v>
      </c>
      <c r="N117" s="562">
        <v>60</v>
      </c>
      <c r="O117" s="563">
        <f t="shared" si="6"/>
        <v>110.73</v>
      </c>
      <c r="P117" s="564">
        <f t="shared" ca="1" si="7"/>
        <v>227</v>
      </c>
      <c r="Q117" s="552">
        <f t="shared" ca="1" si="8"/>
        <v>-18491.91</v>
      </c>
      <c r="R117" s="563">
        <f t="shared" ca="1" si="9"/>
        <v>1</v>
      </c>
      <c r="S117" s="565" t="s">
        <v>20</v>
      </c>
    </row>
    <row r="118" spans="2:19" ht="42.75" x14ac:dyDescent="0.25">
      <c r="B118" s="859">
        <v>39051</v>
      </c>
      <c r="C118" s="558" t="s">
        <v>2349</v>
      </c>
      <c r="D118" s="558"/>
      <c r="E118" s="565" t="s">
        <v>81</v>
      </c>
      <c r="F118" s="548" t="s">
        <v>86</v>
      </c>
      <c r="G118" s="559" t="s">
        <v>82</v>
      </c>
      <c r="H118" s="548" t="s">
        <v>28</v>
      </c>
      <c r="I118" s="548" t="s">
        <v>67</v>
      </c>
      <c r="J118" s="548" t="s">
        <v>68</v>
      </c>
      <c r="K118" s="560">
        <v>6643.8</v>
      </c>
      <c r="L118" s="561">
        <v>33.33</v>
      </c>
      <c r="M118" s="552">
        <f t="shared" si="5"/>
        <v>199.33393339333935</v>
      </c>
      <c r="N118" s="562">
        <v>60</v>
      </c>
      <c r="O118" s="563">
        <f t="shared" si="6"/>
        <v>110.73</v>
      </c>
      <c r="P118" s="564">
        <f t="shared" ca="1" si="7"/>
        <v>227</v>
      </c>
      <c r="Q118" s="552">
        <f t="shared" ca="1" si="8"/>
        <v>-18491.91</v>
      </c>
      <c r="R118" s="563">
        <f t="shared" ca="1" si="9"/>
        <v>1</v>
      </c>
      <c r="S118" s="565" t="s">
        <v>20</v>
      </c>
    </row>
    <row r="119" spans="2:19" ht="42.75" x14ac:dyDescent="0.25">
      <c r="B119" s="859">
        <v>39051</v>
      </c>
      <c r="C119" s="558" t="s">
        <v>2349</v>
      </c>
      <c r="D119" s="558"/>
      <c r="E119" s="565" t="s">
        <v>81</v>
      </c>
      <c r="F119" s="548" t="s">
        <v>87</v>
      </c>
      <c r="G119" s="559" t="s">
        <v>82</v>
      </c>
      <c r="H119" s="548" t="s">
        <v>28</v>
      </c>
      <c r="I119" s="548" t="s">
        <v>67</v>
      </c>
      <c r="J119" s="548" t="s">
        <v>68</v>
      </c>
      <c r="K119" s="560">
        <v>6643.8</v>
      </c>
      <c r="L119" s="561">
        <v>33.33</v>
      </c>
      <c r="M119" s="552">
        <f t="shared" si="5"/>
        <v>199.33393339333935</v>
      </c>
      <c r="N119" s="562">
        <v>60</v>
      </c>
      <c r="O119" s="563">
        <f t="shared" si="6"/>
        <v>110.73</v>
      </c>
      <c r="P119" s="564">
        <f t="shared" ca="1" si="7"/>
        <v>227</v>
      </c>
      <c r="Q119" s="552">
        <f t="shared" ca="1" si="8"/>
        <v>-18491.91</v>
      </c>
      <c r="R119" s="563">
        <f t="shared" ca="1" si="9"/>
        <v>1</v>
      </c>
      <c r="S119" s="565" t="s">
        <v>20</v>
      </c>
    </row>
    <row r="120" spans="2:19" ht="48" customHeight="1" x14ac:dyDescent="0.25">
      <c r="B120" s="859">
        <v>39211</v>
      </c>
      <c r="C120" s="558" t="s">
        <v>2349</v>
      </c>
      <c r="D120" s="558"/>
      <c r="E120" s="565" t="s">
        <v>191</v>
      </c>
      <c r="F120" s="548" t="s">
        <v>196</v>
      </c>
      <c r="G120" s="559" t="s">
        <v>193</v>
      </c>
      <c r="H120" s="548" t="s">
        <v>28</v>
      </c>
      <c r="I120" s="548" t="s">
        <v>23</v>
      </c>
      <c r="J120" s="548" t="s">
        <v>194</v>
      </c>
      <c r="K120" s="560">
        <v>3825</v>
      </c>
      <c r="L120" s="561">
        <v>33.33</v>
      </c>
      <c r="M120" s="552">
        <f t="shared" si="5"/>
        <v>114.76147614761477</v>
      </c>
      <c r="N120" s="562">
        <v>60</v>
      </c>
      <c r="O120" s="563">
        <f t="shared" si="6"/>
        <v>63.75</v>
      </c>
      <c r="P120" s="564">
        <f t="shared" ca="1" si="7"/>
        <v>221</v>
      </c>
      <c r="Q120" s="552">
        <f t="shared" ca="1" si="8"/>
        <v>-10263.75</v>
      </c>
      <c r="R120" s="563">
        <f t="shared" ca="1" si="9"/>
        <v>1</v>
      </c>
      <c r="S120" s="565" t="s">
        <v>195</v>
      </c>
    </row>
    <row r="121" spans="2:19" ht="48" customHeight="1" x14ac:dyDescent="0.25">
      <c r="B121" s="859">
        <v>39244</v>
      </c>
      <c r="C121" s="558" t="s">
        <v>2349</v>
      </c>
      <c r="D121" s="558"/>
      <c r="E121" s="565" t="s">
        <v>197</v>
      </c>
      <c r="F121" s="548" t="s">
        <v>198</v>
      </c>
      <c r="G121" s="559" t="s">
        <v>199</v>
      </c>
      <c r="H121" s="548" t="s">
        <v>200</v>
      </c>
      <c r="I121" s="548" t="s">
        <v>23</v>
      </c>
      <c r="J121" s="548" t="s">
        <v>194</v>
      </c>
      <c r="K121" s="560">
        <v>35233</v>
      </c>
      <c r="L121" s="561">
        <v>32.340000000000003</v>
      </c>
      <c r="M121" s="552">
        <f t="shared" si="5"/>
        <v>1089.4557823129251</v>
      </c>
      <c r="N121" s="562">
        <v>60</v>
      </c>
      <c r="O121" s="563">
        <f t="shared" si="6"/>
        <v>587.2166666666667</v>
      </c>
      <c r="P121" s="564">
        <f t="shared" ca="1" si="7"/>
        <v>220</v>
      </c>
      <c r="Q121" s="552">
        <f t="shared" ca="1" si="8"/>
        <v>-93954.666666666672</v>
      </c>
      <c r="R121" s="563">
        <f t="shared" ca="1" si="9"/>
        <v>1</v>
      </c>
      <c r="S121" s="565" t="s">
        <v>195</v>
      </c>
    </row>
    <row r="122" spans="2:19" ht="48" customHeight="1" x14ac:dyDescent="0.25">
      <c r="B122" s="859">
        <v>39253</v>
      </c>
      <c r="C122" s="558" t="s">
        <v>2349</v>
      </c>
      <c r="D122" s="558"/>
      <c r="E122" s="565" t="s">
        <v>201</v>
      </c>
      <c r="F122" s="548" t="s">
        <v>205</v>
      </c>
      <c r="G122" s="559" t="s">
        <v>206</v>
      </c>
      <c r="H122" s="548" t="s">
        <v>28</v>
      </c>
      <c r="I122" s="548" t="s">
        <v>204</v>
      </c>
      <c r="J122" s="548" t="s">
        <v>19</v>
      </c>
      <c r="K122" s="560">
        <v>7389.6</v>
      </c>
      <c r="L122" s="561">
        <v>32.42</v>
      </c>
      <c r="M122" s="552">
        <f t="shared" si="5"/>
        <v>227.93337446020973</v>
      </c>
      <c r="N122" s="562">
        <v>60</v>
      </c>
      <c r="O122" s="563">
        <f t="shared" si="6"/>
        <v>123.16000000000001</v>
      </c>
      <c r="P122" s="564">
        <f t="shared" ca="1" si="7"/>
        <v>220</v>
      </c>
      <c r="Q122" s="552">
        <f t="shared" ca="1" si="8"/>
        <v>-19705.599999999999</v>
      </c>
      <c r="R122" s="563">
        <f t="shared" ca="1" si="9"/>
        <v>1</v>
      </c>
      <c r="S122" s="565" t="s">
        <v>20</v>
      </c>
    </row>
    <row r="123" spans="2:19" ht="39.950000000000003" customHeight="1" x14ac:dyDescent="0.25">
      <c r="B123" s="859">
        <v>39253</v>
      </c>
      <c r="C123" s="558" t="s">
        <v>2349</v>
      </c>
      <c r="D123" s="558"/>
      <c r="E123" s="565" t="s">
        <v>201</v>
      </c>
      <c r="F123" s="548" t="s">
        <v>207</v>
      </c>
      <c r="G123" s="559" t="s">
        <v>206</v>
      </c>
      <c r="H123" s="548" t="s">
        <v>28</v>
      </c>
      <c r="I123" s="548" t="s">
        <v>204</v>
      </c>
      <c r="J123" s="548" t="s">
        <v>19</v>
      </c>
      <c r="K123" s="560">
        <v>7389.6</v>
      </c>
      <c r="L123" s="561">
        <v>32.42</v>
      </c>
      <c r="M123" s="552">
        <f t="shared" si="5"/>
        <v>227.93337446020973</v>
      </c>
      <c r="N123" s="562">
        <v>60</v>
      </c>
      <c r="O123" s="563">
        <f t="shared" si="6"/>
        <v>123.16000000000001</v>
      </c>
      <c r="P123" s="564">
        <f t="shared" ca="1" si="7"/>
        <v>220</v>
      </c>
      <c r="Q123" s="552">
        <f t="shared" ca="1" si="8"/>
        <v>-19705.599999999999</v>
      </c>
      <c r="R123" s="563">
        <f t="shared" ca="1" si="9"/>
        <v>1</v>
      </c>
      <c r="S123" s="565" t="s">
        <v>20</v>
      </c>
    </row>
    <row r="124" spans="2:19" ht="39.950000000000003" customHeight="1" x14ac:dyDescent="0.25">
      <c r="B124" s="859">
        <v>39253</v>
      </c>
      <c r="C124" s="558" t="s">
        <v>2349</v>
      </c>
      <c r="D124" s="558"/>
      <c r="E124" s="565" t="s">
        <v>201</v>
      </c>
      <c r="F124" s="548" t="s">
        <v>202</v>
      </c>
      <c r="G124" s="559" t="s">
        <v>203</v>
      </c>
      <c r="H124" s="548" t="s">
        <v>28</v>
      </c>
      <c r="I124" s="548" t="s">
        <v>204</v>
      </c>
      <c r="J124" s="548" t="s">
        <v>19</v>
      </c>
      <c r="K124" s="560">
        <v>2812</v>
      </c>
      <c r="L124" s="561">
        <v>33.33</v>
      </c>
      <c r="M124" s="552">
        <f t="shared" si="5"/>
        <v>84.368436843684378</v>
      </c>
      <c r="N124" s="562">
        <v>60</v>
      </c>
      <c r="O124" s="563">
        <f t="shared" si="6"/>
        <v>46.866666666666667</v>
      </c>
      <c r="P124" s="564">
        <f t="shared" ca="1" si="7"/>
        <v>220</v>
      </c>
      <c r="Q124" s="552">
        <f t="shared" ca="1" si="8"/>
        <v>-7498.6666666666661</v>
      </c>
      <c r="R124" s="563">
        <f t="shared" ca="1" si="9"/>
        <v>1</v>
      </c>
      <c r="S124" s="565" t="s">
        <v>20</v>
      </c>
    </row>
    <row r="125" spans="2:19" ht="39.950000000000003" customHeight="1" x14ac:dyDescent="0.25">
      <c r="B125" s="859">
        <v>39273</v>
      </c>
      <c r="C125" s="558" t="s">
        <v>2349</v>
      </c>
      <c r="D125" s="558"/>
      <c r="E125" s="565" t="s">
        <v>208</v>
      </c>
      <c r="F125" s="548" t="s">
        <v>209</v>
      </c>
      <c r="G125" s="559" t="s">
        <v>210</v>
      </c>
      <c r="H125" s="548" t="s">
        <v>28</v>
      </c>
      <c r="I125" s="548" t="s">
        <v>79</v>
      </c>
      <c r="J125" s="548" t="s">
        <v>80</v>
      </c>
      <c r="K125" s="560">
        <v>12180</v>
      </c>
      <c r="L125" s="561">
        <v>32.42</v>
      </c>
      <c r="M125" s="552">
        <f t="shared" si="5"/>
        <v>375.69401603948177</v>
      </c>
      <c r="N125" s="562">
        <v>60</v>
      </c>
      <c r="O125" s="563">
        <f t="shared" si="6"/>
        <v>203</v>
      </c>
      <c r="P125" s="564">
        <f t="shared" ca="1" si="7"/>
        <v>219</v>
      </c>
      <c r="Q125" s="552">
        <f t="shared" ca="1" si="8"/>
        <v>-32277</v>
      </c>
      <c r="R125" s="563">
        <f t="shared" ca="1" si="9"/>
        <v>1</v>
      </c>
      <c r="S125" s="565" t="s">
        <v>211</v>
      </c>
    </row>
    <row r="126" spans="2:19" ht="39.950000000000003" customHeight="1" x14ac:dyDescent="0.25">
      <c r="B126" s="859">
        <v>39273</v>
      </c>
      <c r="C126" s="558" t="s">
        <v>2349</v>
      </c>
      <c r="D126" s="558"/>
      <c r="E126" s="565" t="s">
        <v>208</v>
      </c>
      <c r="F126" s="548" t="s">
        <v>212</v>
      </c>
      <c r="G126" s="559" t="s">
        <v>210</v>
      </c>
      <c r="H126" s="548" t="s">
        <v>28</v>
      </c>
      <c r="I126" s="548" t="s">
        <v>213</v>
      </c>
      <c r="J126" s="548" t="s">
        <v>214</v>
      </c>
      <c r="K126" s="566">
        <v>12180</v>
      </c>
      <c r="L126" s="561">
        <v>33.19</v>
      </c>
      <c r="M126" s="552">
        <f t="shared" si="5"/>
        <v>366.97800542332033</v>
      </c>
      <c r="N126" s="562">
        <v>60</v>
      </c>
      <c r="O126" s="563">
        <f t="shared" si="6"/>
        <v>203</v>
      </c>
      <c r="P126" s="564">
        <f t="shared" ca="1" si="7"/>
        <v>219</v>
      </c>
      <c r="Q126" s="552">
        <f t="shared" ca="1" si="8"/>
        <v>-32277</v>
      </c>
      <c r="R126" s="563">
        <f t="shared" ca="1" si="9"/>
        <v>1</v>
      </c>
      <c r="S126" s="565" t="s">
        <v>211</v>
      </c>
    </row>
    <row r="127" spans="2:19" ht="39.950000000000003" customHeight="1" x14ac:dyDescent="0.25">
      <c r="B127" s="859">
        <v>39273</v>
      </c>
      <c r="C127" s="558" t="s">
        <v>2349</v>
      </c>
      <c r="D127" s="558"/>
      <c r="E127" s="565" t="s">
        <v>208</v>
      </c>
      <c r="F127" s="548" t="s">
        <v>215</v>
      </c>
      <c r="G127" s="559" t="s">
        <v>210</v>
      </c>
      <c r="H127" s="548" t="s">
        <v>28</v>
      </c>
      <c r="I127" s="548" t="s">
        <v>23</v>
      </c>
      <c r="J127" s="548" t="s">
        <v>216</v>
      </c>
      <c r="K127" s="566">
        <v>12180</v>
      </c>
      <c r="L127" s="561">
        <v>33.19</v>
      </c>
      <c r="M127" s="552">
        <f t="shared" si="5"/>
        <v>366.97800542332033</v>
      </c>
      <c r="N127" s="562">
        <v>60</v>
      </c>
      <c r="O127" s="563">
        <f t="shared" si="6"/>
        <v>203</v>
      </c>
      <c r="P127" s="564">
        <f t="shared" ca="1" si="7"/>
        <v>219</v>
      </c>
      <c r="Q127" s="552">
        <f t="shared" ca="1" si="8"/>
        <v>-32277</v>
      </c>
      <c r="R127" s="563">
        <f t="shared" ca="1" si="9"/>
        <v>1</v>
      </c>
      <c r="S127" s="565" t="s">
        <v>211</v>
      </c>
    </row>
    <row r="128" spans="2:19" ht="39.950000000000003" customHeight="1" x14ac:dyDescent="0.25">
      <c r="B128" s="859">
        <v>39273</v>
      </c>
      <c r="C128" s="558" t="s">
        <v>2349</v>
      </c>
      <c r="D128" s="558"/>
      <c r="E128" s="565" t="s">
        <v>208</v>
      </c>
      <c r="F128" s="548" t="s">
        <v>217</v>
      </c>
      <c r="G128" s="559" t="s">
        <v>210</v>
      </c>
      <c r="H128" s="548" t="s">
        <v>28</v>
      </c>
      <c r="I128" s="548" t="s">
        <v>218</v>
      </c>
      <c r="J128" s="548" t="s">
        <v>219</v>
      </c>
      <c r="K128" s="560">
        <v>12180</v>
      </c>
      <c r="L128" s="561">
        <v>33.19</v>
      </c>
      <c r="M128" s="552">
        <f t="shared" si="5"/>
        <v>366.97800542332033</v>
      </c>
      <c r="N128" s="562">
        <v>60</v>
      </c>
      <c r="O128" s="563">
        <f t="shared" si="6"/>
        <v>203</v>
      </c>
      <c r="P128" s="564">
        <f t="shared" ca="1" si="7"/>
        <v>219</v>
      </c>
      <c r="Q128" s="552">
        <f t="shared" ca="1" si="8"/>
        <v>-32277</v>
      </c>
      <c r="R128" s="563">
        <f t="shared" ca="1" si="9"/>
        <v>1</v>
      </c>
      <c r="S128" s="565" t="s">
        <v>211</v>
      </c>
    </row>
    <row r="129" spans="1:19" ht="39.950000000000003" customHeight="1" x14ac:dyDescent="0.25">
      <c r="B129" s="859">
        <v>39554</v>
      </c>
      <c r="C129" s="558" t="s">
        <v>2349</v>
      </c>
      <c r="D129" s="558"/>
      <c r="E129" s="565" t="s">
        <v>220</v>
      </c>
      <c r="F129" s="548" t="s">
        <v>226</v>
      </c>
      <c r="G129" s="559" t="s">
        <v>227</v>
      </c>
      <c r="H129" s="548" t="s">
        <v>28</v>
      </c>
      <c r="I129" s="548" t="s">
        <v>23</v>
      </c>
      <c r="J129" s="548" t="s">
        <v>222</v>
      </c>
      <c r="K129" s="560">
        <v>20648</v>
      </c>
      <c r="L129" s="561">
        <v>34.130000000000003</v>
      </c>
      <c r="M129" s="552">
        <f t="shared" si="5"/>
        <v>604.98095517140337</v>
      </c>
      <c r="N129" s="562">
        <v>60</v>
      </c>
      <c r="O129" s="563">
        <f t="shared" si="6"/>
        <v>344.13333333333333</v>
      </c>
      <c r="P129" s="564">
        <f t="shared" ca="1" si="7"/>
        <v>210</v>
      </c>
      <c r="Q129" s="552">
        <f t="shared" ca="1" si="8"/>
        <v>-51620</v>
      </c>
      <c r="R129" s="563">
        <f t="shared" ca="1" si="9"/>
        <v>1</v>
      </c>
      <c r="S129" s="565" t="s">
        <v>211</v>
      </c>
    </row>
    <row r="130" spans="1:19" ht="39.950000000000003" customHeight="1" x14ac:dyDescent="0.25">
      <c r="B130" s="859">
        <v>39554</v>
      </c>
      <c r="C130" s="558" t="s">
        <v>2349</v>
      </c>
      <c r="D130" s="558"/>
      <c r="E130" s="565" t="s">
        <v>220</v>
      </c>
      <c r="F130" s="548" t="s">
        <v>221</v>
      </c>
      <c r="G130" s="559" t="s">
        <v>210</v>
      </c>
      <c r="H130" s="548" t="s">
        <v>28</v>
      </c>
      <c r="I130" s="548" t="s">
        <v>23</v>
      </c>
      <c r="J130" s="548" t="s">
        <v>222</v>
      </c>
      <c r="K130" s="560">
        <v>15225</v>
      </c>
      <c r="L130" s="561">
        <v>34.130000000000003</v>
      </c>
      <c r="M130" s="552">
        <f t="shared" si="5"/>
        <v>446.08848520363313</v>
      </c>
      <c r="N130" s="562">
        <v>60</v>
      </c>
      <c r="O130" s="563">
        <f t="shared" si="6"/>
        <v>253.75</v>
      </c>
      <c r="P130" s="564">
        <f t="shared" ca="1" si="7"/>
        <v>210</v>
      </c>
      <c r="Q130" s="552">
        <f t="shared" ca="1" si="8"/>
        <v>-38062.5</v>
      </c>
      <c r="R130" s="563">
        <f t="shared" ca="1" si="9"/>
        <v>1</v>
      </c>
      <c r="S130" s="565" t="s">
        <v>211</v>
      </c>
    </row>
    <row r="131" spans="1:19" ht="39.950000000000003" customHeight="1" x14ac:dyDescent="0.25">
      <c r="B131" s="859">
        <v>39554</v>
      </c>
      <c r="C131" s="558" t="s">
        <v>2349</v>
      </c>
      <c r="D131" s="558"/>
      <c r="E131" s="565" t="s">
        <v>220</v>
      </c>
      <c r="F131" s="548" t="s">
        <v>223</v>
      </c>
      <c r="G131" s="559" t="s">
        <v>210</v>
      </c>
      <c r="H131" s="548" t="s">
        <v>28</v>
      </c>
      <c r="I131" s="548" t="s">
        <v>23</v>
      </c>
      <c r="J131" s="548" t="s">
        <v>222</v>
      </c>
      <c r="K131" s="560">
        <v>15225</v>
      </c>
      <c r="L131" s="561">
        <v>34.130000000000003</v>
      </c>
      <c r="M131" s="552">
        <f t="shared" si="5"/>
        <v>446.08848520363313</v>
      </c>
      <c r="N131" s="562">
        <v>60</v>
      </c>
      <c r="O131" s="563">
        <f t="shared" si="6"/>
        <v>253.75</v>
      </c>
      <c r="P131" s="564">
        <f t="shared" ca="1" si="7"/>
        <v>210</v>
      </c>
      <c r="Q131" s="552">
        <f t="shared" ca="1" si="8"/>
        <v>-38062.5</v>
      </c>
      <c r="R131" s="563">
        <f t="shared" ca="1" si="9"/>
        <v>1</v>
      </c>
      <c r="S131" s="565" t="s">
        <v>211</v>
      </c>
    </row>
    <row r="132" spans="1:19" ht="39.950000000000003" customHeight="1" x14ac:dyDescent="0.25">
      <c r="B132" s="859">
        <v>39554</v>
      </c>
      <c r="C132" s="558" t="s">
        <v>2349</v>
      </c>
      <c r="D132" s="558"/>
      <c r="E132" s="565" t="s">
        <v>220</v>
      </c>
      <c r="F132" s="548" t="s">
        <v>224</v>
      </c>
      <c r="G132" s="559" t="s">
        <v>210</v>
      </c>
      <c r="H132" s="548" t="s">
        <v>28</v>
      </c>
      <c r="I132" s="548" t="s">
        <v>23</v>
      </c>
      <c r="J132" s="548" t="s">
        <v>222</v>
      </c>
      <c r="K132" s="560">
        <v>15225</v>
      </c>
      <c r="L132" s="561">
        <v>34.130000000000003</v>
      </c>
      <c r="M132" s="552">
        <f t="shared" si="5"/>
        <v>446.08848520363313</v>
      </c>
      <c r="N132" s="562">
        <v>60</v>
      </c>
      <c r="O132" s="563">
        <f t="shared" si="6"/>
        <v>253.75</v>
      </c>
      <c r="P132" s="564">
        <f t="shared" ca="1" si="7"/>
        <v>210</v>
      </c>
      <c r="Q132" s="552">
        <f t="shared" ca="1" si="8"/>
        <v>-38062.5</v>
      </c>
      <c r="R132" s="563">
        <f t="shared" ca="1" si="9"/>
        <v>1</v>
      </c>
      <c r="S132" s="565" t="s">
        <v>211</v>
      </c>
    </row>
    <row r="133" spans="1:19" ht="39.950000000000003" customHeight="1" x14ac:dyDescent="0.25">
      <c r="A133" s="323"/>
      <c r="B133" s="859">
        <v>39556</v>
      </c>
      <c r="C133" s="558" t="s">
        <v>2349</v>
      </c>
      <c r="D133" s="558"/>
      <c r="E133" s="565" t="s">
        <v>225</v>
      </c>
      <c r="F133" s="548" t="s">
        <v>280</v>
      </c>
      <c r="G133" s="559" t="s">
        <v>281</v>
      </c>
      <c r="H133" s="548" t="s">
        <v>28</v>
      </c>
      <c r="I133" s="548" t="s">
        <v>23</v>
      </c>
      <c r="J133" s="548" t="s">
        <v>222</v>
      </c>
      <c r="K133" s="560">
        <v>6775</v>
      </c>
      <c r="L133" s="561">
        <v>34.090000000000003</v>
      </c>
      <c r="M133" s="552">
        <f t="shared" si="5"/>
        <v>198.73863303021412</v>
      </c>
      <c r="N133" s="562">
        <v>60</v>
      </c>
      <c r="O133" s="563">
        <f t="shared" si="6"/>
        <v>112.91666666666667</v>
      </c>
      <c r="P133" s="564">
        <f t="shared" ca="1" si="7"/>
        <v>210</v>
      </c>
      <c r="Q133" s="552">
        <f t="shared" ca="1" si="8"/>
        <v>-16937.5</v>
      </c>
      <c r="R133" s="563">
        <f t="shared" ca="1" si="9"/>
        <v>1</v>
      </c>
      <c r="S133" s="565" t="s">
        <v>211</v>
      </c>
    </row>
    <row r="134" spans="1:19" ht="39.950000000000003" customHeight="1" x14ac:dyDescent="0.25">
      <c r="B134" s="859">
        <v>39556</v>
      </c>
      <c r="C134" s="558" t="s">
        <v>2349</v>
      </c>
      <c r="D134" s="558"/>
      <c r="E134" s="565" t="s">
        <v>225</v>
      </c>
      <c r="F134" s="548" t="s">
        <v>282</v>
      </c>
      <c r="G134" s="559" t="s">
        <v>281</v>
      </c>
      <c r="H134" s="548" t="s">
        <v>28</v>
      </c>
      <c r="I134" s="548" t="s">
        <v>23</v>
      </c>
      <c r="J134" s="548" t="s">
        <v>222</v>
      </c>
      <c r="K134" s="560">
        <v>6775</v>
      </c>
      <c r="L134" s="561">
        <v>34.090000000000003</v>
      </c>
      <c r="M134" s="552">
        <f t="shared" si="5"/>
        <v>198.73863303021412</v>
      </c>
      <c r="N134" s="562">
        <v>60</v>
      </c>
      <c r="O134" s="563">
        <f t="shared" si="6"/>
        <v>112.91666666666667</v>
      </c>
      <c r="P134" s="564">
        <f t="shared" ca="1" si="7"/>
        <v>210</v>
      </c>
      <c r="Q134" s="552">
        <f t="shared" ca="1" si="8"/>
        <v>-16937.5</v>
      </c>
      <c r="R134" s="563">
        <f t="shared" ca="1" si="9"/>
        <v>1</v>
      </c>
      <c r="S134" s="565" t="s">
        <v>211</v>
      </c>
    </row>
    <row r="135" spans="1:19" ht="39.950000000000003" customHeight="1" x14ac:dyDescent="0.25">
      <c r="B135" s="859">
        <v>39556</v>
      </c>
      <c r="C135" s="558" t="s">
        <v>2349</v>
      </c>
      <c r="D135" s="558"/>
      <c r="E135" s="565" t="s">
        <v>225</v>
      </c>
      <c r="F135" s="548" t="s">
        <v>283</v>
      </c>
      <c r="G135" s="559" t="s">
        <v>281</v>
      </c>
      <c r="H135" s="548" t="s">
        <v>28</v>
      </c>
      <c r="I135" s="548" t="s">
        <v>23</v>
      </c>
      <c r="J135" s="548" t="s">
        <v>222</v>
      </c>
      <c r="K135" s="560">
        <v>6775</v>
      </c>
      <c r="L135" s="561">
        <v>34.090000000000003</v>
      </c>
      <c r="M135" s="552">
        <f t="shared" si="5"/>
        <v>198.73863303021412</v>
      </c>
      <c r="N135" s="562">
        <v>60</v>
      </c>
      <c r="O135" s="563">
        <f t="shared" si="6"/>
        <v>112.91666666666667</v>
      </c>
      <c r="P135" s="564">
        <f t="shared" ca="1" si="7"/>
        <v>210</v>
      </c>
      <c r="Q135" s="552">
        <f t="shared" ca="1" si="8"/>
        <v>-16937.5</v>
      </c>
      <c r="R135" s="563">
        <f t="shared" ca="1" si="9"/>
        <v>1</v>
      </c>
      <c r="S135" s="565" t="s">
        <v>211</v>
      </c>
    </row>
    <row r="136" spans="1:19" ht="39.950000000000003" customHeight="1" x14ac:dyDescent="0.25">
      <c r="B136" s="859">
        <v>39556</v>
      </c>
      <c r="C136" s="558" t="s">
        <v>2349</v>
      </c>
      <c r="D136" s="558"/>
      <c r="E136" s="565" t="s">
        <v>225</v>
      </c>
      <c r="F136" s="548" t="s">
        <v>284</v>
      </c>
      <c r="G136" s="559" t="s">
        <v>281</v>
      </c>
      <c r="H136" s="548" t="s">
        <v>28</v>
      </c>
      <c r="I136" s="548" t="s">
        <v>23</v>
      </c>
      <c r="J136" s="548" t="s">
        <v>222</v>
      </c>
      <c r="K136" s="560">
        <v>6775</v>
      </c>
      <c r="L136" s="561">
        <v>34.090000000000003</v>
      </c>
      <c r="M136" s="552">
        <f t="shared" ref="M136:M199" si="10">+K136/L136</f>
        <v>198.73863303021412</v>
      </c>
      <c r="N136" s="562">
        <v>60</v>
      </c>
      <c r="O136" s="563">
        <f t="shared" ref="O136:O199" si="11">IF(AND(K136&lt;&gt;0,N136&lt;&gt;0),K136/N136,0)</f>
        <v>112.91666666666667</v>
      </c>
      <c r="P136" s="564">
        <f t="shared" ref="P136:P199" ca="1" si="12">IF(B136&lt;&gt;0,(ROUND((NOW()-B136)/30,0)),0)</f>
        <v>210</v>
      </c>
      <c r="Q136" s="552">
        <f t="shared" ref="Q136:Q199" ca="1" si="13">IF(OR(K136=0,N136=0,P136=0),0,K136-(O136*P136))</f>
        <v>-16937.5</v>
      </c>
      <c r="R136" s="563">
        <f t="shared" ref="R136:R199" ca="1" si="14">IF(Q136&lt;1,1,Q136)</f>
        <v>1</v>
      </c>
      <c r="S136" s="565" t="s">
        <v>211</v>
      </c>
    </row>
    <row r="137" spans="1:19" ht="39.950000000000003" customHeight="1" x14ac:dyDescent="0.25">
      <c r="B137" s="859">
        <v>39556</v>
      </c>
      <c r="C137" s="558" t="s">
        <v>2349</v>
      </c>
      <c r="D137" s="558"/>
      <c r="E137" s="565" t="s">
        <v>225</v>
      </c>
      <c r="F137" s="548" t="s">
        <v>285</v>
      </c>
      <c r="G137" s="559" t="s">
        <v>281</v>
      </c>
      <c r="H137" s="548" t="s">
        <v>28</v>
      </c>
      <c r="I137" s="548" t="s">
        <v>23</v>
      </c>
      <c r="J137" s="548" t="s">
        <v>222</v>
      </c>
      <c r="K137" s="560">
        <v>6775</v>
      </c>
      <c r="L137" s="561">
        <v>34.090000000000003</v>
      </c>
      <c r="M137" s="552">
        <f t="shared" si="10"/>
        <v>198.73863303021412</v>
      </c>
      <c r="N137" s="562">
        <v>60</v>
      </c>
      <c r="O137" s="563">
        <f t="shared" si="11"/>
        <v>112.91666666666667</v>
      </c>
      <c r="P137" s="564">
        <f t="shared" ca="1" si="12"/>
        <v>210</v>
      </c>
      <c r="Q137" s="552">
        <f t="shared" ca="1" si="13"/>
        <v>-16937.5</v>
      </c>
      <c r="R137" s="563">
        <f t="shared" ca="1" si="14"/>
        <v>1</v>
      </c>
      <c r="S137" s="565" t="s">
        <v>211</v>
      </c>
    </row>
    <row r="138" spans="1:19" ht="39.950000000000003" customHeight="1" x14ac:dyDescent="0.25">
      <c r="B138" s="859">
        <v>39556</v>
      </c>
      <c r="C138" s="558" t="s">
        <v>2349</v>
      </c>
      <c r="D138" s="558"/>
      <c r="E138" s="565" t="s">
        <v>225</v>
      </c>
      <c r="F138" s="548" t="s">
        <v>269</v>
      </c>
      <c r="G138" s="559" t="s">
        <v>270</v>
      </c>
      <c r="H138" s="548" t="s">
        <v>28</v>
      </c>
      <c r="I138" s="548" t="s">
        <v>271</v>
      </c>
      <c r="J138" s="548" t="s">
        <v>222</v>
      </c>
      <c r="K138" s="560">
        <v>5680</v>
      </c>
      <c r="L138" s="561">
        <v>34.090000000000003</v>
      </c>
      <c r="M138" s="552">
        <f t="shared" si="10"/>
        <v>166.61777647403929</v>
      </c>
      <c r="N138" s="562">
        <v>60</v>
      </c>
      <c r="O138" s="563">
        <f t="shared" si="11"/>
        <v>94.666666666666671</v>
      </c>
      <c r="P138" s="564">
        <f t="shared" ca="1" si="12"/>
        <v>210</v>
      </c>
      <c r="Q138" s="552">
        <f t="shared" ca="1" si="13"/>
        <v>-14200</v>
      </c>
      <c r="R138" s="563">
        <f t="shared" ca="1" si="14"/>
        <v>1</v>
      </c>
      <c r="S138" s="565" t="s">
        <v>211</v>
      </c>
    </row>
    <row r="139" spans="1:19" ht="39.950000000000003" customHeight="1" x14ac:dyDescent="0.25">
      <c r="A139" s="323"/>
      <c r="B139" s="859">
        <v>39556</v>
      </c>
      <c r="C139" s="558" t="s">
        <v>2349</v>
      </c>
      <c r="D139" s="558"/>
      <c r="E139" s="565" t="s">
        <v>225</v>
      </c>
      <c r="F139" s="548" t="s">
        <v>272</v>
      </c>
      <c r="G139" s="559" t="s">
        <v>270</v>
      </c>
      <c r="H139" s="548" t="s">
        <v>28</v>
      </c>
      <c r="I139" s="548" t="s">
        <v>273</v>
      </c>
      <c r="J139" s="548" t="s">
        <v>222</v>
      </c>
      <c r="K139" s="560">
        <v>5680</v>
      </c>
      <c r="L139" s="561">
        <v>34.090000000000003</v>
      </c>
      <c r="M139" s="552">
        <f t="shared" si="10"/>
        <v>166.61777647403929</v>
      </c>
      <c r="N139" s="562">
        <v>60</v>
      </c>
      <c r="O139" s="563">
        <f t="shared" si="11"/>
        <v>94.666666666666671</v>
      </c>
      <c r="P139" s="564">
        <f t="shared" ca="1" si="12"/>
        <v>210</v>
      </c>
      <c r="Q139" s="552">
        <f t="shared" ca="1" si="13"/>
        <v>-14200</v>
      </c>
      <c r="R139" s="563">
        <f t="shared" ca="1" si="14"/>
        <v>1</v>
      </c>
      <c r="S139" s="565" t="s">
        <v>211</v>
      </c>
    </row>
    <row r="140" spans="1:19" ht="39.950000000000003" customHeight="1" x14ac:dyDescent="0.25">
      <c r="A140" s="323"/>
      <c r="B140" s="859">
        <v>39556</v>
      </c>
      <c r="C140" s="558" t="s">
        <v>2349</v>
      </c>
      <c r="D140" s="558"/>
      <c r="E140" s="565" t="s">
        <v>225</v>
      </c>
      <c r="F140" s="548" t="s">
        <v>274</v>
      </c>
      <c r="G140" s="559" t="s">
        <v>270</v>
      </c>
      <c r="H140" s="548" t="s">
        <v>28</v>
      </c>
      <c r="I140" s="548" t="s">
        <v>275</v>
      </c>
      <c r="J140" s="548" t="s">
        <v>222</v>
      </c>
      <c r="K140" s="560">
        <v>5680</v>
      </c>
      <c r="L140" s="561">
        <v>34.090000000000003</v>
      </c>
      <c r="M140" s="552">
        <f t="shared" si="10"/>
        <v>166.61777647403929</v>
      </c>
      <c r="N140" s="562">
        <v>60</v>
      </c>
      <c r="O140" s="563">
        <f t="shared" si="11"/>
        <v>94.666666666666671</v>
      </c>
      <c r="P140" s="564">
        <f t="shared" ca="1" si="12"/>
        <v>210</v>
      </c>
      <c r="Q140" s="552">
        <f t="shared" ca="1" si="13"/>
        <v>-14200</v>
      </c>
      <c r="R140" s="563">
        <f t="shared" ca="1" si="14"/>
        <v>1</v>
      </c>
      <c r="S140" s="565" t="s">
        <v>211</v>
      </c>
    </row>
    <row r="141" spans="1:19" ht="39.950000000000003" customHeight="1" x14ac:dyDescent="0.25">
      <c r="A141" s="323"/>
      <c r="B141" s="859">
        <v>39556</v>
      </c>
      <c r="C141" s="558" t="s">
        <v>2349</v>
      </c>
      <c r="D141" s="558"/>
      <c r="E141" s="565" t="s">
        <v>225</v>
      </c>
      <c r="F141" s="548" t="s">
        <v>276</v>
      </c>
      <c r="G141" s="559" t="s">
        <v>270</v>
      </c>
      <c r="H141" s="548" t="s">
        <v>28</v>
      </c>
      <c r="I141" s="548" t="s">
        <v>277</v>
      </c>
      <c r="J141" s="548" t="s">
        <v>222</v>
      </c>
      <c r="K141" s="560">
        <v>5680</v>
      </c>
      <c r="L141" s="561">
        <v>34.090000000000003</v>
      </c>
      <c r="M141" s="552">
        <f t="shared" si="10"/>
        <v>166.61777647403929</v>
      </c>
      <c r="N141" s="562">
        <v>60</v>
      </c>
      <c r="O141" s="563">
        <f t="shared" si="11"/>
        <v>94.666666666666671</v>
      </c>
      <c r="P141" s="564">
        <f t="shared" ca="1" si="12"/>
        <v>210</v>
      </c>
      <c r="Q141" s="552">
        <f t="shared" ca="1" si="13"/>
        <v>-14200</v>
      </c>
      <c r="R141" s="563">
        <f t="shared" ca="1" si="14"/>
        <v>1</v>
      </c>
      <c r="S141" s="565" t="s">
        <v>211</v>
      </c>
    </row>
    <row r="142" spans="1:19" ht="39.950000000000003" customHeight="1" x14ac:dyDescent="0.25">
      <c r="A142" s="323"/>
      <c r="B142" s="859">
        <v>39556</v>
      </c>
      <c r="C142" s="558" t="s">
        <v>2349</v>
      </c>
      <c r="D142" s="558"/>
      <c r="E142" s="565" t="s">
        <v>225</v>
      </c>
      <c r="F142" s="548" t="s">
        <v>278</v>
      </c>
      <c r="G142" s="559" t="s">
        <v>270</v>
      </c>
      <c r="H142" s="548" t="s">
        <v>28</v>
      </c>
      <c r="I142" s="548" t="s">
        <v>279</v>
      </c>
      <c r="J142" s="548" t="s">
        <v>222</v>
      </c>
      <c r="K142" s="560">
        <v>5680</v>
      </c>
      <c r="L142" s="561">
        <v>34.090000000000003</v>
      </c>
      <c r="M142" s="552">
        <f t="shared" si="10"/>
        <v>166.61777647403929</v>
      </c>
      <c r="N142" s="562">
        <v>60</v>
      </c>
      <c r="O142" s="563">
        <f t="shared" si="11"/>
        <v>94.666666666666671</v>
      </c>
      <c r="P142" s="564">
        <f t="shared" ca="1" si="12"/>
        <v>210</v>
      </c>
      <c r="Q142" s="552">
        <f t="shared" ca="1" si="13"/>
        <v>-14200</v>
      </c>
      <c r="R142" s="563">
        <f t="shared" ca="1" si="14"/>
        <v>1</v>
      </c>
      <c r="S142" s="565" t="s">
        <v>211</v>
      </c>
    </row>
    <row r="143" spans="1:19" ht="39.950000000000003" customHeight="1" x14ac:dyDescent="0.25">
      <c r="B143" s="859">
        <v>39556</v>
      </c>
      <c r="C143" s="558" t="s">
        <v>2349</v>
      </c>
      <c r="D143" s="558"/>
      <c r="E143" s="565" t="s">
        <v>225</v>
      </c>
      <c r="F143" s="548" t="s">
        <v>267</v>
      </c>
      <c r="G143" s="559" t="s">
        <v>268</v>
      </c>
      <c r="H143" s="548" t="s">
        <v>28</v>
      </c>
      <c r="I143" s="548" t="s">
        <v>23</v>
      </c>
      <c r="J143" s="548" t="s">
        <v>222</v>
      </c>
      <c r="K143" s="560">
        <v>12290</v>
      </c>
      <c r="L143" s="561">
        <v>34.090000000000003</v>
      </c>
      <c r="M143" s="552">
        <f t="shared" si="10"/>
        <v>360.51628043414485</v>
      </c>
      <c r="N143" s="562">
        <v>60</v>
      </c>
      <c r="O143" s="563">
        <f t="shared" si="11"/>
        <v>204.83333333333334</v>
      </c>
      <c r="P143" s="564">
        <f t="shared" ca="1" si="12"/>
        <v>210</v>
      </c>
      <c r="Q143" s="552">
        <f t="shared" ca="1" si="13"/>
        <v>-30725</v>
      </c>
      <c r="R143" s="563">
        <f t="shared" ca="1" si="14"/>
        <v>1</v>
      </c>
      <c r="S143" s="565" t="s">
        <v>211</v>
      </c>
    </row>
    <row r="144" spans="1:19" ht="39.950000000000003" customHeight="1" x14ac:dyDescent="0.25">
      <c r="B144" s="859">
        <v>39556</v>
      </c>
      <c r="C144" s="558" t="s">
        <v>2349</v>
      </c>
      <c r="D144" s="558"/>
      <c r="E144" s="565" t="s">
        <v>225</v>
      </c>
      <c r="F144" s="548" t="s">
        <v>265</v>
      </c>
      <c r="G144" s="559" t="s">
        <v>266</v>
      </c>
      <c r="H144" s="548" t="s">
        <v>28</v>
      </c>
      <c r="I144" s="548" t="s">
        <v>23</v>
      </c>
      <c r="J144" s="548" t="s">
        <v>222</v>
      </c>
      <c r="K144" s="560">
        <v>34540</v>
      </c>
      <c r="L144" s="561">
        <v>34.090000000000003</v>
      </c>
      <c r="M144" s="552">
        <f t="shared" si="10"/>
        <v>1013.2003520093868</v>
      </c>
      <c r="N144" s="562">
        <v>60</v>
      </c>
      <c r="O144" s="563">
        <f t="shared" si="11"/>
        <v>575.66666666666663</v>
      </c>
      <c r="P144" s="564">
        <f t="shared" ca="1" si="12"/>
        <v>210</v>
      </c>
      <c r="Q144" s="552">
        <f t="shared" ca="1" si="13"/>
        <v>-86349.999999999985</v>
      </c>
      <c r="R144" s="563">
        <f t="shared" ca="1" si="14"/>
        <v>1</v>
      </c>
      <c r="S144" s="565" t="s">
        <v>211</v>
      </c>
    </row>
    <row r="145" spans="2:19" ht="39.950000000000003" customHeight="1" x14ac:dyDescent="0.25">
      <c r="B145" s="859">
        <v>39556</v>
      </c>
      <c r="C145" s="558" t="s">
        <v>2349</v>
      </c>
      <c r="D145" s="558"/>
      <c r="E145" s="565" t="s">
        <v>225</v>
      </c>
      <c r="F145" s="548" t="s">
        <v>263</v>
      </c>
      <c r="G145" s="559" t="s">
        <v>264</v>
      </c>
      <c r="H145" s="548" t="s">
        <v>28</v>
      </c>
      <c r="I145" s="548" t="s">
        <v>23</v>
      </c>
      <c r="J145" s="548" t="s">
        <v>222</v>
      </c>
      <c r="K145" s="560">
        <v>23507</v>
      </c>
      <c r="L145" s="561">
        <v>34.090000000000003</v>
      </c>
      <c r="M145" s="552">
        <f t="shared" si="10"/>
        <v>689.55705485479609</v>
      </c>
      <c r="N145" s="562">
        <v>60</v>
      </c>
      <c r="O145" s="563">
        <f t="shared" si="11"/>
        <v>391.78333333333336</v>
      </c>
      <c r="P145" s="564">
        <f t="shared" ca="1" si="12"/>
        <v>210</v>
      </c>
      <c r="Q145" s="552">
        <f t="shared" ca="1" si="13"/>
        <v>-58767.5</v>
      </c>
      <c r="R145" s="563">
        <f t="shared" ca="1" si="14"/>
        <v>1</v>
      </c>
      <c r="S145" s="565" t="s">
        <v>211</v>
      </c>
    </row>
    <row r="146" spans="2:19" ht="39.950000000000003" customHeight="1" x14ac:dyDescent="0.25">
      <c r="B146" s="859">
        <v>39556</v>
      </c>
      <c r="C146" s="558" t="s">
        <v>2349</v>
      </c>
      <c r="D146" s="558"/>
      <c r="E146" s="565" t="s">
        <v>225</v>
      </c>
      <c r="F146" s="548" t="s">
        <v>261</v>
      </c>
      <c r="G146" s="559" t="s">
        <v>262</v>
      </c>
      <c r="H146" s="548" t="s">
        <v>28</v>
      </c>
      <c r="I146" s="548" t="s">
        <v>23</v>
      </c>
      <c r="J146" s="548" t="s">
        <v>222</v>
      </c>
      <c r="K146" s="560">
        <v>11050</v>
      </c>
      <c r="L146" s="561">
        <v>34.090000000000003</v>
      </c>
      <c r="M146" s="552">
        <f t="shared" si="10"/>
        <v>324.14197711938982</v>
      </c>
      <c r="N146" s="562">
        <v>60</v>
      </c>
      <c r="O146" s="563">
        <f t="shared" si="11"/>
        <v>184.16666666666666</v>
      </c>
      <c r="P146" s="564">
        <f t="shared" ca="1" si="12"/>
        <v>210</v>
      </c>
      <c r="Q146" s="552">
        <f t="shared" ca="1" si="13"/>
        <v>-27625</v>
      </c>
      <c r="R146" s="563">
        <f t="shared" ca="1" si="14"/>
        <v>1</v>
      </c>
      <c r="S146" s="565" t="s">
        <v>211</v>
      </c>
    </row>
    <row r="147" spans="2:19" ht="59.25" customHeight="1" x14ac:dyDescent="0.25">
      <c r="B147" s="859">
        <v>39556</v>
      </c>
      <c r="C147" s="558" t="s">
        <v>2349</v>
      </c>
      <c r="D147" s="558"/>
      <c r="E147" s="565" t="s">
        <v>225</v>
      </c>
      <c r="F147" s="548" t="s">
        <v>254</v>
      </c>
      <c r="G147" s="559" t="s">
        <v>255</v>
      </c>
      <c r="H147" s="548" t="s">
        <v>28</v>
      </c>
      <c r="I147" s="548" t="s">
        <v>23</v>
      </c>
      <c r="J147" s="548" t="s">
        <v>222</v>
      </c>
      <c r="K147" s="560">
        <v>9782</v>
      </c>
      <c r="L147" s="561">
        <v>34.090000000000003</v>
      </c>
      <c r="M147" s="552">
        <f t="shared" si="10"/>
        <v>286.94631856849514</v>
      </c>
      <c r="N147" s="562">
        <v>60</v>
      </c>
      <c r="O147" s="563">
        <f t="shared" si="11"/>
        <v>163.03333333333333</v>
      </c>
      <c r="P147" s="564">
        <f t="shared" ca="1" si="12"/>
        <v>210</v>
      </c>
      <c r="Q147" s="552">
        <f t="shared" ca="1" si="13"/>
        <v>-24455</v>
      </c>
      <c r="R147" s="563">
        <f t="shared" ca="1" si="14"/>
        <v>1</v>
      </c>
      <c r="S147" s="565" t="s">
        <v>211</v>
      </c>
    </row>
    <row r="148" spans="2:19" ht="39.950000000000003" customHeight="1" x14ac:dyDescent="0.25">
      <c r="B148" s="859">
        <v>39556</v>
      </c>
      <c r="C148" s="558" t="s">
        <v>2349</v>
      </c>
      <c r="D148" s="558"/>
      <c r="E148" s="565" t="s">
        <v>225</v>
      </c>
      <c r="F148" s="548" t="s">
        <v>256</v>
      </c>
      <c r="G148" s="559" t="s">
        <v>255</v>
      </c>
      <c r="H148" s="548" t="s">
        <v>28</v>
      </c>
      <c r="I148" s="548" t="s">
        <v>23</v>
      </c>
      <c r="J148" s="548" t="s">
        <v>222</v>
      </c>
      <c r="K148" s="560">
        <v>9782</v>
      </c>
      <c r="L148" s="561">
        <v>34.090000000000003</v>
      </c>
      <c r="M148" s="552">
        <f t="shared" si="10"/>
        <v>286.94631856849514</v>
      </c>
      <c r="N148" s="562">
        <v>60</v>
      </c>
      <c r="O148" s="563">
        <f t="shared" si="11"/>
        <v>163.03333333333333</v>
      </c>
      <c r="P148" s="564">
        <f t="shared" ca="1" si="12"/>
        <v>210</v>
      </c>
      <c r="Q148" s="552">
        <f t="shared" ca="1" si="13"/>
        <v>-24455</v>
      </c>
      <c r="R148" s="563">
        <f t="shared" ca="1" si="14"/>
        <v>1</v>
      </c>
      <c r="S148" s="565" t="s">
        <v>211</v>
      </c>
    </row>
    <row r="149" spans="2:19" ht="39.950000000000003" customHeight="1" x14ac:dyDescent="0.25">
      <c r="B149" s="859">
        <v>39556</v>
      </c>
      <c r="C149" s="558" t="s">
        <v>2349</v>
      </c>
      <c r="D149" s="558"/>
      <c r="E149" s="565" t="s">
        <v>225</v>
      </c>
      <c r="F149" s="548" t="s">
        <v>257</v>
      </c>
      <c r="G149" s="559" t="s">
        <v>255</v>
      </c>
      <c r="H149" s="548" t="s">
        <v>28</v>
      </c>
      <c r="I149" s="548" t="s">
        <v>23</v>
      </c>
      <c r="J149" s="548" t="s">
        <v>222</v>
      </c>
      <c r="K149" s="560">
        <v>9782</v>
      </c>
      <c r="L149" s="561">
        <v>34.090000000000003</v>
      </c>
      <c r="M149" s="552">
        <f t="shared" si="10"/>
        <v>286.94631856849514</v>
      </c>
      <c r="N149" s="562">
        <v>60</v>
      </c>
      <c r="O149" s="563">
        <f t="shared" si="11"/>
        <v>163.03333333333333</v>
      </c>
      <c r="P149" s="564">
        <f t="shared" ca="1" si="12"/>
        <v>210</v>
      </c>
      <c r="Q149" s="552">
        <f t="shared" ca="1" si="13"/>
        <v>-24455</v>
      </c>
      <c r="R149" s="563">
        <f t="shared" ca="1" si="14"/>
        <v>1</v>
      </c>
      <c r="S149" s="565" t="s">
        <v>211</v>
      </c>
    </row>
    <row r="150" spans="2:19" ht="39.950000000000003" customHeight="1" x14ac:dyDescent="0.25">
      <c r="B150" s="859">
        <v>39556</v>
      </c>
      <c r="C150" s="558" t="s">
        <v>2349</v>
      </c>
      <c r="D150" s="558"/>
      <c r="E150" s="565" t="s">
        <v>225</v>
      </c>
      <c r="F150" s="548" t="s">
        <v>258</v>
      </c>
      <c r="G150" s="559" t="s">
        <v>255</v>
      </c>
      <c r="H150" s="548" t="s">
        <v>28</v>
      </c>
      <c r="I150" s="548" t="s">
        <v>23</v>
      </c>
      <c r="J150" s="548" t="s">
        <v>222</v>
      </c>
      <c r="K150" s="560">
        <v>9782</v>
      </c>
      <c r="L150" s="561">
        <v>34.090000000000003</v>
      </c>
      <c r="M150" s="552">
        <f t="shared" si="10"/>
        <v>286.94631856849514</v>
      </c>
      <c r="N150" s="562">
        <v>60</v>
      </c>
      <c r="O150" s="563">
        <f t="shared" si="11"/>
        <v>163.03333333333333</v>
      </c>
      <c r="P150" s="564">
        <f t="shared" ca="1" si="12"/>
        <v>210</v>
      </c>
      <c r="Q150" s="552">
        <f t="shared" ca="1" si="13"/>
        <v>-24455</v>
      </c>
      <c r="R150" s="563">
        <f t="shared" ca="1" si="14"/>
        <v>1</v>
      </c>
      <c r="S150" s="565" t="s">
        <v>211</v>
      </c>
    </row>
    <row r="151" spans="2:19" ht="39.950000000000003" customHeight="1" x14ac:dyDescent="0.25">
      <c r="B151" s="859">
        <v>39556</v>
      </c>
      <c r="C151" s="558" t="s">
        <v>2349</v>
      </c>
      <c r="D151" s="558"/>
      <c r="E151" s="565" t="s">
        <v>225</v>
      </c>
      <c r="F151" s="548" t="s">
        <v>259</v>
      </c>
      <c r="G151" s="559" t="s">
        <v>255</v>
      </c>
      <c r="H151" s="548" t="s">
        <v>28</v>
      </c>
      <c r="I151" s="548" t="s">
        <v>23</v>
      </c>
      <c r="J151" s="548" t="s">
        <v>222</v>
      </c>
      <c r="K151" s="560">
        <v>9782</v>
      </c>
      <c r="L151" s="561">
        <v>34.090000000000003</v>
      </c>
      <c r="M151" s="552">
        <f t="shared" si="10"/>
        <v>286.94631856849514</v>
      </c>
      <c r="N151" s="562">
        <v>60</v>
      </c>
      <c r="O151" s="563">
        <f t="shared" si="11"/>
        <v>163.03333333333333</v>
      </c>
      <c r="P151" s="564">
        <f t="shared" ca="1" si="12"/>
        <v>210</v>
      </c>
      <c r="Q151" s="552">
        <f t="shared" ca="1" si="13"/>
        <v>-24455</v>
      </c>
      <c r="R151" s="563">
        <f t="shared" ca="1" si="14"/>
        <v>1</v>
      </c>
      <c r="S151" s="565" t="s">
        <v>211</v>
      </c>
    </row>
    <row r="152" spans="2:19" ht="50.1" customHeight="1" x14ac:dyDescent="0.25">
      <c r="B152" s="859">
        <v>39556</v>
      </c>
      <c r="C152" s="558" t="s">
        <v>2349</v>
      </c>
      <c r="D152" s="558"/>
      <c r="E152" s="565" t="s">
        <v>225</v>
      </c>
      <c r="F152" s="548" t="s">
        <v>260</v>
      </c>
      <c r="G152" s="559" t="s">
        <v>255</v>
      </c>
      <c r="H152" s="548" t="s">
        <v>28</v>
      </c>
      <c r="I152" s="548" t="s">
        <v>23</v>
      </c>
      <c r="J152" s="548" t="s">
        <v>222</v>
      </c>
      <c r="K152" s="560">
        <v>9782</v>
      </c>
      <c r="L152" s="561">
        <v>34.090000000000003</v>
      </c>
      <c r="M152" s="552">
        <f t="shared" si="10"/>
        <v>286.94631856849514</v>
      </c>
      <c r="N152" s="562">
        <v>60</v>
      </c>
      <c r="O152" s="563">
        <f t="shared" si="11"/>
        <v>163.03333333333333</v>
      </c>
      <c r="P152" s="564">
        <f t="shared" ca="1" si="12"/>
        <v>210</v>
      </c>
      <c r="Q152" s="552">
        <f t="shared" ca="1" si="13"/>
        <v>-24455</v>
      </c>
      <c r="R152" s="563">
        <f t="shared" ca="1" si="14"/>
        <v>1</v>
      </c>
      <c r="S152" s="565" t="s">
        <v>211</v>
      </c>
    </row>
    <row r="153" spans="2:19" ht="50.1" customHeight="1" x14ac:dyDescent="0.25">
      <c r="B153" s="859">
        <v>39556</v>
      </c>
      <c r="C153" s="558" t="s">
        <v>2349</v>
      </c>
      <c r="D153" s="558"/>
      <c r="E153" s="565" t="s">
        <v>225</v>
      </c>
      <c r="F153" s="548" t="s">
        <v>250</v>
      </c>
      <c r="G153" s="559" t="s">
        <v>251</v>
      </c>
      <c r="H153" s="548" t="s">
        <v>28</v>
      </c>
      <c r="I153" s="548" t="s">
        <v>23</v>
      </c>
      <c r="J153" s="548" t="s">
        <v>222</v>
      </c>
      <c r="K153" s="560">
        <v>9782</v>
      </c>
      <c r="L153" s="561">
        <v>34.090000000000003</v>
      </c>
      <c r="M153" s="552">
        <f t="shared" si="10"/>
        <v>286.94631856849514</v>
      </c>
      <c r="N153" s="562">
        <v>60</v>
      </c>
      <c r="O153" s="563">
        <f t="shared" si="11"/>
        <v>163.03333333333333</v>
      </c>
      <c r="P153" s="564">
        <f t="shared" ca="1" si="12"/>
        <v>210</v>
      </c>
      <c r="Q153" s="552">
        <f t="shared" ca="1" si="13"/>
        <v>-24455</v>
      </c>
      <c r="R153" s="563">
        <f t="shared" ca="1" si="14"/>
        <v>1</v>
      </c>
      <c r="S153" s="565" t="s">
        <v>211</v>
      </c>
    </row>
    <row r="154" spans="2:19" ht="50.1" customHeight="1" x14ac:dyDescent="0.25">
      <c r="B154" s="859">
        <v>39556</v>
      </c>
      <c r="C154" s="558" t="s">
        <v>2349</v>
      </c>
      <c r="D154" s="558"/>
      <c r="E154" s="565" t="s">
        <v>225</v>
      </c>
      <c r="F154" s="548" t="s">
        <v>252</v>
      </c>
      <c r="G154" s="559" t="s">
        <v>251</v>
      </c>
      <c r="H154" s="548" t="s">
        <v>28</v>
      </c>
      <c r="I154" s="548" t="s">
        <v>23</v>
      </c>
      <c r="J154" s="548" t="s">
        <v>222</v>
      </c>
      <c r="K154" s="560">
        <v>9782</v>
      </c>
      <c r="L154" s="561">
        <v>34.090000000000003</v>
      </c>
      <c r="M154" s="552">
        <f t="shared" si="10"/>
        <v>286.94631856849514</v>
      </c>
      <c r="N154" s="562">
        <v>60</v>
      </c>
      <c r="O154" s="563">
        <f t="shared" si="11"/>
        <v>163.03333333333333</v>
      </c>
      <c r="P154" s="564">
        <f t="shared" ca="1" si="12"/>
        <v>210</v>
      </c>
      <c r="Q154" s="552">
        <f t="shared" ca="1" si="13"/>
        <v>-24455</v>
      </c>
      <c r="R154" s="563">
        <f t="shared" ca="1" si="14"/>
        <v>1</v>
      </c>
      <c r="S154" s="565" t="s">
        <v>211</v>
      </c>
    </row>
    <row r="155" spans="2:19" ht="50.1" customHeight="1" x14ac:dyDescent="0.25">
      <c r="B155" s="859">
        <v>39556</v>
      </c>
      <c r="C155" s="558" t="s">
        <v>2349</v>
      </c>
      <c r="D155" s="558"/>
      <c r="E155" s="565" t="s">
        <v>225</v>
      </c>
      <c r="F155" s="548" t="s">
        <v>253</v>
      </c>
      <c r="G155" s="559" t="s">
        <v>251</v>
      </c>
      <c r="H155" s="548" t="s">
        <v>28</v>
      </c>
      <c r="I155" s="548" t="s">
        <v>23</v>
      </c>
      <c r="J155" s="548" t="s">
        <v>222</v>
      </c>
      <c r="K155" s="560">
        <v>9782</v>
      </c>
      <c r="L155" s="561">
        <v>34.090000000000003</v>
      </c>
      <c r="M155" s="552">
        <f t="shared" si="10"/>
        <v>286.94631856849514</v>
      </c>
      <c r="N155" s="562">
        <v>60</v>
      </c>
      <c r="O155" s="563">
        <f t="shared" si="11"/>
        <v>163.03333333333333</v>
      </c>
      <c r="P155" s="564">
        <f t="shared" ca="1" si="12"/>
        <v>210</v>
      </c>
      <c r="Q155" s="552">
        <f t="shared" ca="1" si="13"/>
        <v>-24455</v>
      </c>
      <c r="R155" s="563">
        <f t="shared" ca="1" si="14"/>
        <v>1</v>
      </c>
      <c r="S155" s="565" t="s">
        <v>211</v>
      </c>
    </row>
    <row r="156" spans="2:19" ht="50.1" customHeight="1" x14ac:dyDescent="0.25">
      <c r="B156" s="859">
        <v>39556</v>
      </c>
      <c r="C156" s="558" t="s">
        <v>2349</v>
      </c>
      <c r="D156" s="558"/>
      <c r="E156" s="565" t="s">
        <v>225</v>
      </c>
      <c r="F156" s="548" t="s">
        <v>245</v>
      </c>
      <c r="G156" s="559" t="s">
        <v>246</v>
      </c>
      <c r="H156" s="548" t="s">
        <v>28</v>
      </c>
      <c r="I156" s="548" t="s">
        <v>23</v>
      </c>
      <c r="J156" s="548" t="s">
        <v>222</v>
      </c>
      <c r="K156" s="560">
        <v>1050</v>
      </c>
      <c r="L156" s="561">
        <v>34.090000000000003</v>
      </c>
      <c r="M156" s="552">
        <f t="shared" si="10"/>
        <v>30.800821355236138</v>
      </c>
      <c r="N156" s="562">
        <v>60</v>
      </c>
      <c r="O156" s="563">
        <f t="shared" si="11"/>
        <v>17.5</v>
      </c>
      <c r="P156" s="564">
        <f t="shared" ca="1" si="12"/>
        <v>210</v>
      </c>
      <c r="Q156" s="552">
        <f t="shared" ca="1" si="13"/>
        <v>-2625</v>
      </c>
      <c r="R156" s="563">
        <f t="shared" ca="1" si="14"/>
        <v>1</v>
      </c>
      <c r="S156" s="565" t="s">
        <v>211</v>
      </c>
    </row>
    <row r="157" spans="2:19" ht="50.1" customHeight="1" x14ac:dyDescent="0.25">
      <c r="B157" s="859">
        <v>39556</v>
      </c>
      <c r="C157" s="558" t="s">
        <v>2349</v>
      </c>
      <c r="D157" s="558"/>
      <c r="E157" s="565" t="s">
        <v>225</v>
      </c>
      <c r="F157" s="548" t="s">
        <v>247</v>
      </c>
      <c r="G157" s="559" t="s">
        <v>246</v>
      </c>
      <c r="H157" s="548" t="s">
        <v>28</v>
      </c>
      <c r="I157" s="548" t="s">
        <v>23</v>
      </c>
      <c r="J157" s="548" t="s">
        <v>222</v>
      </c>
      <c r="K157" s="560">
        <v>1050</v>
      </c>
      <c r="L157" s="561">
        <v>34.090000000000003</v>
      </c>
      <c r="M157" s="552">
        <f t="shared" si="10"/>
        <v>30.800821355236138</v>
      </c>
      <c r="N157" s="562">
        <v>60</v>
      </c>
      <c r="O157" s="563">
        <f t="shared" si="11"/>
        <v>17.5</v>
      </c>
      <c r="P157" s="564">
        <f t="shared" ca="1" si="12"/>
        <v>210</v>
      </c>
      <c r="Q157" s="552">
        <f t="shared" ca="1" si="13"/>
        <v>-2625</v>
      </c>
      <c r="R157" s="563">
        <f t="shared" ca="1" si="14"/>
        <v>1</v>
      </c>
      <c r="S157" s="565" t="s">
        <v>211</v>
      </c>
    </row>
    <row r="158" spans="2:19" ht="50.1" customHeight="1" x14ac:dyDescent="0.25">
      <c r="B158" s="859">
        <v>39556</v>
      </c>
      <c r="C158" s="558" t="s">
        <v>2349</v>
      </c>
      <c r="D158" s="558"/>
      <c r="E158" s="565" t="s">
        <v>225</v>
      </c>
      <c r="F158" s="548" t="s">
        <v>248</v>
      </c>
      <c r="G158" s="559" t="s">
        <v>246</v>
      </c>
      <c r="H158" s="548" t="s">
        <v>28</v>
      </c>
      <c r="I158" s="548" t="s">
        <v>23</v>
      </c>
      <c r="J158" s="548" t="s">
        <v>222</v>
      </c>
      <c r="K158" s="560">
        <v>1050</v>
      </c>
      <c r="L158" s="561">
        <v>34.090000000000003</v>
      </c>
      <c r="M158" s="552">
        <f t="shared" si="10"/>
        <v>30.800821355236138</v>
      </c>
      <c r="N158" s="562">
        <v>60</v>
      </c>
      <c r="O158" s="563">
        <f t="shared" si="11"/>
        <v>17.5</v>
      </c>
      <c r="P158" s="564">
        <f t="shared" ca="1" si="12"/>
        <v>210</v>
      </c>
      <c r="Q158" s="552">
        <f t="shared" ca="1" si="13"/>
        <v>-2625</v>
      </c>
      <c r="R158" s="563">
        <f t="shared" ca="1" si="14"/>
        <v>1</v>
      </c>
      <c r="S158" s="565" t="s">
        <v>211</v>
      </c>
    </row>
    <row r="159" spans="2:19" ht="50.1" customHeight="1" x14ac:dyDescent="0.25">
      <c r="B159" s="859">
        <v>39556</v>
      </c>
      <c r="C159" s="558" t="s">
        <v>2349</v>
      </c>
      <c r="D159" s="558"/>
      <c r="E159" s="565" t="s">
        <v>225</v>
      </c>
      <c r="F159" s="548" t="s">
        <v>249</v>
      </c>
      <c r="G159" s="559" t="s">
        <v>246</v>
      </c>
      <c r="H159" s="548" t="s">
        <v>28</v>
      </c>
      <c r="I159" s="548" t="s">
        <v>23</v>
      </c>
      <c r="J159" s="548" t="s">
        <v>222</v>
      </c>
      <c r="K159" s="560">
        <v>1050</v>
      </c>
      <c r="L159" s="561">
        <v>34.090000000000003</v>
      </c>
      <c r="M159" s="552">
        <f t="shared" si="10"/>
        <v>30.800821355236138</v>
      </c>
      <c r="N159" s="562">
        <v>60</v>
      </c>
      <c r="O159" s="563">
        <f t="shared" si="11"/>
        <v>17.5</v>
      </c>
      <c r="P159" s="564">
        <f t="shared" ca="1" si="12"/>
        <v>210</v>
      </c>
      <c r="Q159" s="552">
        <f t="shared" ca="1" si="13"/>
        <v>-2625</v>
      </c>
      <c r="R159" s="563">
        <f t="shared" ca="1" si="14"/>
        <v>1</v>
      </c>
      <c r="S159" s="565" t="s">
        <v>211</v>
      </c>
    </row>
    <row r="160" spans="2:19" ht="50.1" customHeight="1" x14ac:dyDescent="0.25">
      <c r="B160" s="859">
        <v>39556</v>
      </c>
      <c r="C160" s="558" t="s">
        <v>2349</v>
      </c>
      <c r="D160" s="558"/>
      <c r="E160" s="565" t="s">
        <v>225</v>
      </c>
      <c r="F160" s="548" t="s">
        <v>237</v>
      </c>
      <c r="G160" s="559" t="s">
        <v>238</v>
      </c>
      <c r="H160" s="548" t="s">
        <v>28</v>
      </c>
      <c r="I160" s="548" t="s">
        <v>23</v>
      </c>
      <c r="J160" s="548" t="s">
        <v>222</v>
      </c>
      <c r="K160" s="560">
        <v>15125</v>
      </c>
      <c r="L160" s="561">
        <v>34.090000000000003</v>
      </c>
      <c r="M160" s="552">
        <f t="shared" si="10"/>
        <v>443.67849809328243</v>
      </c>
      <c r="N160" s="562">
        <v>60</v>
      </c>
      <c r="O160" s="563">
        <f t="shared" si="11"/>
        <v>252.08333333333334</v>
      </c>
      <c r="P160" s="564">
        <f t="shared" ca="1" si="12"/>
        <v>210</v>
      </c>
      <c r="Q160" s="552">
        <f t="shared" ca="1" si="13"/>
        <v>-37812.5</v>
      </c>
      <c r="R160" s="563">
        <f t="shared" ca="1" si="14"/>
        <v>1</v>
      </c>
      <c r="S160" s="565" t="s">
        <v>211</v>
      </c>
    </row>
    <row r="161" spans="2:19" ht="50.1" customHeight="1" x14ac:dyDescent="0.25">
      <c r="B161" s="859">
        <v>39556</v>
      </c>
      <c r="C161" s="558" t="s">
        <v>2349</v>
      </c>
      <c r="D161" s="558"/>
      <c r="E161" s="565" t="s">
        <v>225</v>
      </c>
      <c r="F161" s="548" t="s">
        <v>239</v>
      </c>
      <c r="G161" s="559" t="s">
        <v>240</v>
      </c>
      <c r="H161" s="548" t="s">
        <v>28</v>
      </c>
      <c r="I161" s="548" t="s">
        <v>23</v>
      </c>
      <c r="J161" s="548" t="s">
        <v>222</v>
      </c>
      <c r="K161" s="560">
        <v>13428</v>
      </c>
      <c r="L161" s="561">
        <v>34.090000000000003</v>
      </c>
      <c r="M161" s="552">
        <f t="shared" si="10"/>
        <v>393.89850396010559</v>
      </c>
      <c r="N161" s="562">
        <v>60</v>
      </c>
      <c r="O161" s="563">
        <f t="shared" si="11"/>
        <v>223.8</v>
      </c>
      <c r="P161" s="564">
        <f t="shared" ca="1" si="12"/>
        <v>210</v>
      </c>
      <c r="Q161" s="552">
        <f t="shared" ca="1" si="13"/>
        <v>-33570</v>
      </c>
      <c r="R161" s="563">
        <f t="shared" ca="1" si="14"/>
        <v>1</v>
      </c>
      <c r="S161" s="565" t="s">
        <v>211</v>
      </c>
    </row>
    <row r="162" spans="2:19" ht="50.1" customHeight="1" x14ac:dyDescent="0.25">
      <c r="B162" s="859">
        <v>39556</v>
      </c>
      <c r="C162" s="558" t="s">
        <v>2349</v>
      </c>
      <c r="D162" s="558"/>
      <c r="E162" s="565" t="s">
        <v>225</v>
      </c>
      <c r="F162" s="548" t="s">
        <v>241</v>
      </c>
      <c r="G162" s="559" t="s">
        <v>240</v>
      </c>
      <c r="H162" s="548" t="s">
        <v>28</v>
      </c>
      <c r="I162" s="548" t="s">
        <v>23</v>
      </c>
      <c r="J162" s="548" t="s">
        <v>222</v>
      </c>
      <c r="K162" s="560">
        <v>13428</v>
      </c>
      <c r="L162" s="561">
        <v>34.090000000000003</v>
      </c>
      <c r="M162" s="552">
        <f t="shared" si="10"/>
        <v>393.89850396010559</v>
      </c>
      <c r="N162" s="562">
        <v>60</v>
      </c>
      <c r="O162" s="563">
        <f t="shared" si="11"/>
        <v>223.8</v>
      </c>
      <c r="P162" s="564">
        <f t="shared" ca="1" si="12"/>
        <v>210</v>
      </c>
      <c r="Q162" s="552">
        <f t="shared" ca="1" si="13"/>
        <v>-33570</v>
      </c>
      <c r="R162" s="563">
        <f t="shared" ca="1" si="14"/>
        <v>1</v>
      </c>
      <c r="S162" s="565" t="s">
        <v>211</v>
      </c>
    </row>
    <row r="163" spans="2:19" ht="50.1" customHeight="1" x14ac:dyDescent="0.25">
      <c r="B163" s="859">
        <v>39556</v>
      </c>
      <c r="C163" s="558" t="s">
        <v>2349</v>
      </c>
      <c r="D163" s="558"/>
      <c r="E163" s="565" t="s">
        <v>225</v>
      </c>
      <c r="F163" s="548" t="s">
        <v>242</v>
      </c>
      <c r="G163" s="559" t="s">
        <v>240</v>
      </c>
      <c r="H163" s="548" t="s">
        <v>28</v>
      </c>
      <c r="I163" s="548" t="s">
        <v>23</v>
      </c>
      <c r="J163" s="548" t="s">
        <v>222</v>
      </c>
      <c r="K163" s="560">
        <v>13428</v>
      </c>
      <c r="L163" s="561">
        <v>34.090000000000003</v>
      </c>
      <c r="M163" s="552">
        <f t="shared" si="10"/>
        <v>393.89850396010559</v>
      </c>
      <c r="N163" s="562">
        <v>60</v>
      </c>
      <c r="O163" s="563">
        <f t="shared" si="11"/>
        <v>223.8</v>
      </c>
      <c r="P163" s="564">
        <f t="shared" ca="1" si="12"/>
        <v>210</v>
      </c>
      <c r="Q163" s="552">
        <f t="shared" ca="1" si="13"/>
        <v>-33570</v>
      </c>
      <c r="R163" s="563">
        <f t="shared" ca="1" si="14"/>
        <v>1</v>
      </c>
      <c r="S163" s="565" t="s">
        <v>211</v>
      </c>
    </row>
    <row r="164" spans="2:19" ht="50.1" customHeight="1" x14ac:dyDescent="0.25">
      <c r="B164" s="859">
        <v>39556</v>
      </c>
      <c r="C164" s="558" t="s">
        <v>2349</v>
      </c>
      <c r="D164" s="558"/>
      <c r="E164" s="565" t="s">
        <v>225</v>
      </c>
      <c r="F164" s="548" t="s">
        <v>243</v>
      </c>
      <c r="G164" s="559" t="s">
        <v>240</v>
      </c>
      <c r="H164" s="548" t="s">
        <v>28</v>
      </c>
      <c r="I164" s="548" t="s">
        <v>23</v>
      </c>
      <c r="J164" s="548" t="s">
        <v>222</v>
      </c>
      <c r="K164" s="560">
        <v>13428</v>
      </c>
      <c r="L164" s="561">
        <v>34.090000000000003</v>
      </c>
      <c r="M164" s="552">
        <f t="shared" si="10"/>
        <v>393.89850396010559</v>
      </c>
      <c r="N164" s="562">
        <v>60</v>
      </c>
      <c r="O164" s="563">
        <f t="shared" si="11"/>
        <v>223.8</v>
      </c>
      <c r="P164" s="564">
        <f t="shared" ca="1" si="12"/>
        <v>210</v>
      </c>
      <c r="Q164" s="552">
        <f t="shared" ca="1" si="13"/>
        <v>-33570</v>
      </c>
      <c r="R164" s="563">
        <f t="shared" ca="1" si="14"/>
        <v>1</v>
      </c>
      <c r="S164" s="565" t="s">
        <v>211</v>
      </c>
    </row>
    <row r="165" spans="2:19" ht="39.950000000000003" customHeight="1" x14ac:dyDescent="0.25">
      <c r="B165" s="859">
        <v>39556</v>
      </c>
      <c r="C165" s="558" t="s">
        <v>2349</v>
      </c>
      <c r="D165" s="558"/>
      <c r="E165" s="565" t="s">
        <v>225</v>
      </c>
      <c r="F165" s="548" t="s">
        <v>244</v>
      </c>
      <c r="G165" s="559" t="s">
        <v>240</v>
      </c>
      <c r="H165" s="548" t="s">
        <v>28</v>
      </c>
      <c r="I165" s="548" t="s">
        <v>23</v>
      </c>
      <c r="J165" s="548" t="s">
        <v>222</v>
      </c>
      <c r="K165" s="560">
        <v>13428</v>
      </c>
      <c r="L165" s="561">
        <v>34.090000000000003</v>
      </c>
      <c r="M165" s="552">
        <f t="shared" si="10"/>
        <v>393.89850396010559</v>
      </c>
      <c r="N165" s="562">
        <v>60</v>
      </c>
      <c r="O165" s="563">
        <f t="shared" si="11"/>
        <v>223.8</v>
      </c>
      <c r="P165" s="564">
        <f t="shared" ca="1" si="12"/>
        <v>210</v>
      </c>
      <c r="Q165" s="552">
        <f t="shared" ca="1" si="13"/>
        <v>-33570</v>
      </c>
      <c r="R165" s="563">
        <f t="shared" ca="1" si="14"/>
        <v>1</v>
      </c>
      <c r="S165" s="565" t="s">
        <v>211</v>
      </c>
    </row>
    <row r="166" spans="2:19" ht="39.950000000000003" customHeight="1" x14ac:dyDescent="0.25">
      <c r="B166" s="859">
        <v>39556</v>
      </c>
      <c r="C166" s="558" t="s">
        <v>2349</v>
      </c>
      <c r="D166" s="558"/>
      <c r="E166" s="565" t="s">
        <v>225</v>
      </c>
      <c r="F166" s="548" t="s">
        <v>228</v>
      </c>
      <c r="G166" s="559" t="s">
        <v>229</v>
      </c>
      <c r="H166" s="548" t="s">
        <v>28</v>
      </c>
      <c r="I166" s="548" t="s">
        <v>23</v>
      </c>
      <c r="J166" s="548" t="s">
        <v>222</v>
      </c>
      <c r="K166" s="560">
        <v>5852</v>
      </c>
      <c r="L166" s="561">
        <v>34.090000000000003</v>
      </c>
      <c r="M166" s="552">
        <f t="shared" si="10"/>
        <v>171.66324435318273</v>
      </c>
      <c r="N166" s="562">
        <v>60</v>
      </c>
      <c r="O166" s="563">
        <f t="shared" si="11"/>
        <v>97.533333333333331</v>
      </c>
      <c r="P166" s="564">
        <f t="shared" ca="1" si="12"/>
        <v>210</v>
      </c>
      <c r="Q166" s="552">
        <f t="shared" ca="1" si="13"/>
        <v>-14630</v>
      </c>
      <c r="R166" s="563">
        <f t="shared" ca="1" si="14"/>
        <v>1</v>
      </c>
      <c r="S166" s="565" t="s">
        <v>211</v>
      </c>
    </row>
    <row r="167" spans="2:19" ht="39.950000000000003" customHeight="1" x14ac:dyDescent="0.25">
      <c r="B167" s="859">
        <v>39556</v>
      </c>
      <c r="C167" s="558" t="s">
        <v>2349</v>
      </c>
      <c r="D167" s="558"/>
      <c r="E167" s="565" t="s">
        <v>225</v>
      </c>
      <c r="F167" s="548" t="s">
        <v>230</v>
      </c>
      <c r="G167" s="559" t="s">
        <v>229</v>
      </c>
      <c r="H167" s="548" t="s">
        <v>28</v>
      </c>
      <c r="I167" s="548" t="s">
        <v>23</v>
      </c>
      <c r="J167" s="548" t="s">
        <v>222</v>
      </c>
      <c r="K167" s="560">
        <v>5852</v>
      </c>
      <c r="L167" s="561">
        <v>34.090000000000003</v>
      </c>
      <c r="M167" s="552">
        <f t="shared" si="10"/>
        <v>171.66324435318273</v>
      </c>
      <c r="N167" s="562">
        <v>60</v>
      </c>
      <c r="O167" s="563">
        <f t="shared" si="11"/>
        <v>97.533333333333331</v>
      </c>
      <c r="P167" s="564">
        <f t="shared" ca="1" si="12"/>
        <v>210</v>
      </c>
      <c r="Q167" s="552">
        <f t="shared" ca="1" si="13"/>
        <v>-14630</v>
      </c>
      <c r="R167" s="563">
        <f t="shared" ca="1" si="14"/>
        <v>1</v>
      </c>
      <c r="S167" s="565" t="s">
        <v>211</v>
      </c>
    </row>
    <row r="168" spans="2:19" ht="39.950000000000003" customHeight="1" x14ac:dyDescent="0.25">
      <c r="B168" s="859">
        <v>39556</v>
      </c>
      <c r="C168" s="558" t="s">
        <v>2349</v>
      </c>
      <c r="D168" s="558"/>
      <c r="E168" s="565" t="s">
        <v>225</v>
      </c>
      <c r="F168" s="548" t="s">
        <v>231</v>
      </c>
      <c r="G168" s="559" t="s">
        <v>229</v>
      </c>
      <c r="H168" s="548" t="s">
        <v>28</v>
      </c>
      <c r="I168" s="548" t="s">
        <v>23</v>
      </c>
      <c r="J168" s="548" t="s">
        <v>222</v>
      </c>
      <c r="K168" s="560">
        <v>5852</v>
      </c>
      <c r="L168" s="561">
        <v>34.090000000000003</v>
      </c>
      <c r="M168" s="552">
        <f t="shared" si="10"/>
        <v>171.66324435318273</v>
      </c>
      <c r="N168" s="562">
        <v>60</v>
      </c>
      <c r="O168" s="563">
        <f t="shared" si="11"/>
        <v>97.533333333333331</v>
      </c>
      <c r="P168" s="564">
        <f t="shared" ca="1" si="12"/>
        <v>210</v>
      </c>
      <c r="Q168" s="552">
        <f t="shared" ca="1" si="13"/>
        <v>-14630</v>
      </c>
      <c r="R168" s="563">
        <f t="shared" ca="1" si="14"/>
        <v>1</v>
      </c>
      <c r="S168" s="565" t="s">
        <v>211</v>
      </c>
    </row>
    <row r="169" spans="2:19" ht="39.950000000000003" customHeight="1" x14ac:dyDescent="0.25">
      <c r="B169" s="859">
        <v>39556</v>
      </c>
      <c r="C169" s="558" t="s">
        <v>2349</v>
      </c>
      <c r="D169" s="558"/>
      <c r="E169" s="565" t="s">
        <v>225</v>
      </c>
      <c r="F169" s="548" t="s">
        <v>232</v>
      </c>
      <c r="G169" s="559" t="s">
        <v>229</v>
      </c>
      <c r="H169" s="548" t="s">
        <v>28</v>
      </c>
      <c r="I169" s="548" t="s">
        <v>23</v>
      </c>
      <c r="J169" s="548" t="s">
        <v>222</v>
      </c>
      <c r="K169" s="560">
        <v>5852</v>
      </c>
      <c r="L169" s="561">
        <v>34.090000000000003</v>
      </c>
      <c r="M169" s="552">
        <f t="shared" si="10"/>
        <v>171.66324435318273</v>
      </c>
      <c r="N169" s="562">
        <v>60</v>
      </c>
      <c r="O169" s="563">
        <f t="shared" si="11"/>
        <v>97.533333333333331</v>
      </c>
      <c r="P169" s="564">
        <f t="shared" ca="1" si="12"/>
        <v>210</v>
      </c>
      <c r="Q169" s="552">
        <f t="shared" ca="1" si="13"/>
        <v>-14630</v>
      </c>
      <c r="R169" s="563">
        <f t="shared" ca="1" si="14"/>
        <v>1</v>
      </c>
      <c r="S169" s="565" t="s">
        <v>211</v>
      </c>
    </row>
    <row r="170" spans="2:19" ht="50.1" customHeight="1" x14ac:dyDescent="0.25">
      <c r="B170" s="859">
        <v>39556</v>
      </c>
      <c r="C170" s="558" t="s">
        <v>2349</v>
      </c>
      <c r="D170" s="558"/>
      <c r="E170" s="565" t="s">
        <v>225</v>
      </c>
      <c r="F170" s="548" t="s">
        <v>233</v>
      </c>
      <c r="G170" s="559" t="s">
        <v>229</v>
      </c>
      <c r="H170" s="548" t="s">
        <v>28</v>
      </c>
      <c r="I170" s="548" t="s">
        <v>23</v>
      </c>
      <c r="J170" s="548" t="s">
        <v>222</v>
      </c>
      <c r="K170" s="560">
        <v>5852</v>
      </c>
      <c r="L170" s="561">
        <v>34.090000000000003</v>
      </c>
      <c r="M170" s="552">
        <f t="shared" si="10"/>
        <v>171.66324435318273</v>
      </c>
      <c r="N170" s="562">
        <v>60</v>
      </c>
      <c r="O170" s="563">
        <f t="shared" si="11"/>
        <v>97.533333333333331</v>
      </c>
      <c r="P170" s="564">
        <f t="shared" ca="1" si="12"/>
        <v>210</v>
      </c>
      <c r="Q170" s="552">
        <f t="shared" ca="1" si="13"/>
        <v>-14630</v>
      </c>
      <c r="R170" s="563">
        <f t="shared" ca="1" si="14"/>
        <v>1</v>
      </c>
      <c r="S170" s="565" t="s">
        <v>211</v>
      </c>
    </row>
    <row r="171" spans="2:19" ht="50.1" customHeight="1" x14ac:dyDescent="0.25">
      <c r="B171" s="859">
        <v>39556</v>
      </c>
      <c r="C171" s="558" t="s">
        <v>2349</v>
      </c>
      <c r="D171" s="558"/>
      <c r="E171" s="565" t="s">
        <v>225</v>
      </c>
      <c r="F171" s="548" t="s">
        <v>234</v>
      </c>
      <c r="G171" s="559" t="s">
        <v>229</v>
      </c>
      <c r="H171" s="548" t="s">
        <v>28</v>
      </c>
      <c r="I171" s="548" t="s">
        <v>23</v>
      </c>
      <c r="J171" s="548" t="s">
        <v>222</v>
      </c>
      <c r="K171" s="560">
        <v>5852</v>
      </c>
      <c r="L171" s="561">
        <v>34.090000000000003</v>
      </c>
      <c r="M171" s="552">
        <f t="shared" si="10"/>
        <v>171.66324435318273</v>
      </c>
      <c r="N171" s="562">
        <v>60</v>
      </c>
      <c r="O171" s="563">
        <f t="shared" si="11"/>
        <v>97.533333333333331</v>
      </c>
      <c r="P171" s="564">
        <f t="shared" ca="1" si="12"/>
        <v>210</v>
      </c>
      <c r="Q171" s="552">
        <f t="shared" ca="1" si="13"/>
        <v>-14630</v>
      </c>
      <c r="R171" s="563">
        <f t="shared" ca="1" si="14"/>
        <v>1</v>
      </c>
      <c r="S171" s="565" t="s">
        <v>211</v>
      </c>
    </row>
    <row r="172" spans="2:19" ht="50.1" customHeight="1" x14ac:dyDescent="0.25">
      <c r="B172" s="859">
        <v>39556</v>
      </c>
      <c r="C172" s="558" t="s">
        <v>2349</v>
      </c>
      <c r="D172" s="558"/>
      <c r="E172" s="565" t="s">
        <v>225</v>
      </c>
      <c r="F172" s="548" t="s">
        <v>235</v>
      </c>
      <c r="G172" s="559" t="s">
        <v>229</v>
      </c>
      <c r="H172" s="548" t="s">
        <v>28</v>
      </c>
      <c r="I172" s="548" t="s">
        <v>23</v>
      </c>
      <c r="J172" s="548" t="s">
        <v>222</v>
      </c>
      <c r="K172" s="560">
        <v>5852</v>
      </c>
      <c r="L172" s="561">
        <v>34.090000000000003</v>
      </c>
      <c r="M172" s="552">
        <f t="shared" si="10"/>
        <v>171.66324435318273</v>
      </c>
      <c r="N172" s="562">
        <v>60</v>
      </c>
      <c r="O172" s="563">
        <f t="shared" si="11"/>
        <v>97.533333333333331</v>
      </c>
      <c r="P172" s="564">
        <f t="shared" ca="1" si="12"/>
        <v>210</v>
      </c>
      <c r="Q172" s="552">
        <f t="shared" ca="1" si="13"/>
        <v>-14630</v>
      </c>
      <c r="R172" s="563">
        <f t="shared" ca="1" si="14"/>
        <v>1</v>
      </c>
      <c r="S172" s="565" t="s">
        <v>211</v>
      </c>
    </row>
    <row r="173" spans="2:19" ht="50.1" customHeight="1" x14ac:dyDescent="0.25">
      <c r="B173" s="859">
        <v>39556</v>
      </c>
      <c r="C173" s="558" t="s">
        <v>2349</v>
      </c>
      <c r="D173" s="558"/>
      <c r="E173" s="565" t="s">
        <v>225</v>
      </c>
      <c r="F173" s="548" t="s">
        <v>236</v>
      </c>
      <c r="G173" s="559" t="s">
        <v>229</v>
      </c>
      <c r="H173" s="548" t="s">
        <v>28</v>
      </c>
      <c r="I173" s="548" t="s">
        <v>23</v>
      </c>
      <c r="J173" s="548" t="s">
        <v>222</v>
      </c>
      <c r="K173" s="560">
        <v>5852</v>
      </c>
      <c r="L173" s="561">
        <v>34.090000000000003</v>
      </c>
      <c r="M173" s="552">
        <f t="shared" si="10"/>
        <v>171.66324435318273</v>
      </c>
      <c r="N173" s="562">
        <v>60</v>
      </c>
      <c r="O173" s="563">
        <f t="shared" si="11"/>
        <v>97.533333333333331</v>
      </c>
      <c r="P173" s="564">
        <f t="shared" ca="1" si="12"/>
        <v>210</v>
      </c>
      <c r="Q173" s="552">
        <f t="shared" ca="1" si="13"/>
        <v>-14630</v>
      </c>
      <c r="R173" s="563">
        <f t="shared" ca="1" si="14"/>
        <v>1</v>
      </c>
      <c r="S173" s="565" t="s">
        <v>211</v>
      </c>
    </row>
    <row r="174" spans="2:19" ht="50.1" customHeight="1" x14ac:dyDescent="0.25">
      <c r="B174" s="859">
        <v>39595</v>
      </c>
      <c r="C174" s="558" t="s">
        <v>2349</v>
      </c>
      <c r="D174" s="558"/>
      <c r="E174" s="565" t="s">
        <v>286</v>
      </c>
      <c r="F174" s="548" t="s">
        <v>294</v>
      </c>
      <c r="G174" s="559" t="s">
        <v>295</v>
      </c>
      <c r="H174" s="548" t="s">
        <v>28</v>
      </c>
      <c r="I174" s="548" t="s">
        <v>23</v>
      </c>
      <c r="J174" s="548" t="s">
        <v>194</v>
      </c>
      <c r="K174" s="560">
        <v>9986.5</v>
      </c>
      <c r="L174" s="561">
        <v>33.450000000000003</v>
      </c>
      <c r="M174" s="552">
        <f t="shared" si="10"/>
        <v>298.5500747384155</v>
      </c>
      <c r="N174" s="562">
        <v>60</v>
      </c>
      <c r="O174" s="563">
        <f t="shared" si="11"/>
        <v>166.44166666666666</v>
      </c>
      <c r="P174" s="564">
        <f t="shared" ca="1" si="12"/>
        <v>208</v>
      </c>
      <c r="Q174" s="552">
        <f t="shared" ca="1" si="13"/>
        <v>-24633.366666666669</v>
      </c>
      <c r="R174" s="563">
        <f t="shared" ca="1" si="14"/>
        <v>1</v>
      </c>
      <c r="S174" s="565" t="s">
        <v>30</v>
      </c>
    </row>
    <row r="175" spans="2:19" ht="47.1" customHeight="1" x14ac:dyDescent="0.25">
      <c r="B175" s="859">
        <v>39595</v>
      </c>
      <c r="C175" s="558" t="s">
        <v>2349</v>
      </c>
      <c r="D175" s="558"/>
      <c r="E175" s="565" t="s">
        <v>286</v>
      </c>
      <c r="F175" s="548" t="s">
        <v>292</v>
      </c>
      <c r="G175" s="559" t="s">
        <v>293</v>
      </c>
      <c r="H175" s="548" t="s">
        <v>28</v>
      </c>
      <c r="I175" s="548" t="s">
        <v>23</v>
      </c>
      <c r="J175" s="548" t="s">
        <v>194</v>
      </c>
      <c r="K175" s="560">
        <v>9986.5</v>
      </c>
      <c r="L175" s="561">
        <v>33.450000000000003</v>
      </c>
      <c r="M175" s="552">
        <f t="shared" si="10"/>
        <v>298.5500747384155</v>
      </c>
      <c r="N175" s="562">
        <v>60</v>
      </c>
      <c r="O175" s="563">
        <f t="shared" si="11"/>
        <v>166.44166666666666</v>
      </c>
      <c r="P175" s="564">
        <f t="shared" ca="1" si="12"/>
        <v>208</v>
      </c>
      <c r="Q175" s="552">
        <f t="shared" ca="1" si="13"/>
        <v>-24633.366666666669</v>
      </c>
      <c r="R175" s="563">
        <f t="shared" ca="1" si="14"/>
        <v>1</v>
      </c>
      <c r="S175" s="565" t="s">
        <v>30</v>
      </c>
    </row>
    <row r="176" spans="2:19" ht="52.5" customHeight="1" x14ac:dyDescent="0.25">
      <c r="B176" s="859">
        <v>39595</v>
      </c>
      <c r="C176" s="558" t="s">
        <v>2349</v>
      </c>
      <c r="D176" s="558"/>
      <c r="E176" s="565" t="s">
        <v>286</v>
      </c>
      <c r="F176" s="548" t="s">
        <v>287</v>
      </c>
      <c r="G176" s="559" t="s">
        <v>288</v>
      </c>
      <c r="H176" s="548" t="s">
        <v>28</v>
      </c>
      <c r="I176" s="548" t="s">
        <v>23</v>
      </c>
      <c r="J176" s="548" t="s">
        <v>194</v>
      </c>
      <c r="K176" s="560">
        <v>8692.19</v>
      </c>
      <c r="L176" s="561">
        <v>33.450000000000003</v>
      </c>
      <c r="M176" s="552">
        <f t="shared" si="10"/>
        <v>259.85620328849029</v>
      </c>
      <c r="N176" s="562">
        <v>60</v>
      </c>
      <c r="O176" s="563">
        <f t="shared" si="11"/>
        <v>144.86983333333333</v>
      </c>
      <c r="P176" s="564">
        <f t="shared" ca="1" si="12"/>
        <v>208</v>
      </c>
      <c r="Q176" s="552">
        <f t="shared" ca="1" si="13"/>
        <v>-21440.73533333333</v>
      </c>
      <c r="R176" s="563">
        <f t="shared" ca="1" si="14"/>
        <v>1</v>
      </c>
      <c r="S176" s="565" t="s">
        <v>30</v>
      </c>
    </row>
    <row r="177" spans="2:19" ht="48.75" customHeight="1" x14ac:dyDescent="0.25">
      <c r="B177" s="859">
        <v>39595</v>
      </c>
      <c r="C177" s="558" t="s">
        <v>2349</v>
      </c>
      <c r="D177" s="558"/>
      <c r="E177" s="565" t="s">
        <v>286</v>
      </c>
      <c r="F177" s="548" t="s">
        <v>289</v>
      </c>
      <c r="G177" s="559" t="s">
        <v>288</v>
      </c>
      <c r="H177" s="548" t="s">
        <v>28</v>
      </c>
      <c r="I177" s="548" t="s">
        <v>23</v>
      </c>
      <c r="J177" s="548" t="s">
        <v>194</v>
      </c>
      <c r="K177" s="560">
        <v>8692.19</v>
      </c>
      <c r="L177" s="561">
        <v>33.450000000000003</v>
      </c>
      <c r="M177" s="552">
        <f t="shared" si="10"/>
        <v>259.85620328849029</v>
      </c>
      <c r="N177" s="562">
        <v>60</v>
      </c>
      <c r="O177" s="563">
        <f t="shared" si="11"/>
        <v>144.86983333333333</v>
      </c>
      <c r="P177" s="564">
        <f t="shared" ca="1" si="12"/>
        <v>208</v>
      </c>
      <c r="Q177" s="552">
        <f t="shared" ca="1" si="13"/>
        <v>-21440.73533333333</v>
      </c>
      <c r="R177" s="563">
        <f t="shared" ca="1" si="14"/>
        <v>1</v>
      </c>
      <c r="S177" s="565" t="s">
        <v>30</v>
      </c>
    </row>
    <row r="178" spans="2:19" ht="50.25" customHeight="1" x14ac:dyDescent="0.25">
      <c r="B178" s="859">
        <v>39595</v>
      </c>
      <c r="C178" s="558" t="s">
        <v>2349</v>
      </c>
      <c r="D178" s="558"/>
      <c r="E178" s="565" t="s">
        <v>286</v>
      </c>
      <c r="F178" s="548" t="s">
        <v>290</v>
      </c>
      <c r="G178" s="559" t="s">
        <v>288</v>
      </c>
      <c r="H178" s="548" t="s">
        <v>28</v>
      </c>
      <c r="I178" s="548" t="s">
        <v>23</v>
      </c>
      <c r="J178" s="548" t="s">
        <v>194</v>
      </c>
      <c r="K178" s="560">
        <v>8692.19</v>
      </c>
      <c r="L178" s="561">
        <v>33.450000000000003</v>
      </c>
      <c r="M178" s="552">
        <f t="shared" si="10"/>
        <v>259.85620328849029</v>
      </c>
      <c r="N178" s="562">
        <v>60</v>
      </c>
      <c r="O178" s="563">
        <f t="shared" si="11"/>
        <v>144.86983333333333</v>
      </c>
      <c r="P178" s="564">
        <f t="shared" ca="1" si="12"/>
        <v>208</v>
      </c>
      <c r="Q178" s="552">
        <f t="shared" ca="1" si="13"/>
        <v>-21440.73533333333</v>
      </c>
      <c r="R178" s="563">
        <f t="shared" ca="1" si="14"/>
        <v>1</v>
      </c>
      <c r="S178" s="565" t="s">
        <v>30</v>
      </c>
    </row>
    <row r="179" spans="2:19" ht="47.1" customHeight="1" x14ac:dyDescent="0.25">
      <c r="B179" s="859">
        <v>39595</v>
      </c>
      <c r="C179" s="558" t="s">
        <v>2349</v>
      </c>
      <c r="D179" s="558"/>
      <c r="E179" s="565" t="s">
        <v>286</v>
      </c>
      <c r="F179" s="548" t="s">
        <v>192</v>
      </c>
      <c r="G179" s="559" t="s">
        <v>291</v>
      </c>
      <c r="H179" s="548" t="s">
        <v>28</v>
      </c>
      <c r="I179" s="548" t="s">
        <v>23</v>
      </c>
      <c r="J179" s="548" t="s">
        <v>194</v>
      </c>
      <c r="K179" s="560">
        <v>4268.92</v>
      </c>
      <c r="L179" s="561">
        <v>33.450000000000003</v>
      </c>
      <c r="M179" s="552">
        <f t="shared" si="10"/>
        <v>127.62092675635276</v>
      </c>
      <c r="N179" s="562">
        <v>60</v>
      </c>
      <c r="O179" s="563">
        <f t="shared" si="11"/>
        <v>71.148666666666671</v>
      </c>
      <c r="P179" s="564">
        <f t="shared" ca="1" si="12"/>
        <v>208</v>
      </c>
      <c r="Q179" s="552">
        <f t="shared" ca="1" si="13"/>
        <v>-10530.002666666667</v>
      </c>
      <c r="R179" s="563">
        <f t="shared" ca="1" si="14"/>
        <v>1</v>
      </c>
      <c r="S179" s="565" t="s">
        <v>30</v>
      </c>
    </row>
    <row r="180" spans="2:19" ht="47.1" customHeight="1" x14ac:dyDescent="0.25">
      <c r="B180" s="859">
        <v>39629</v>
      </c>
      <c r="C180" s="558" t="s">
        <v>2349</v>
      </c>
      <c r="D180" s="558"/>
      <c r="E180" s="565" t="s">
        <v>296</v>
      </c>
      <c r="F180" s="548" t="s">
        <v>297</v>
      </c>
      <c r="G180" s="559" t="s">
        <v>298</v>
      </c>
      <c r="H180" s="548" t="s">
        <v>28</v>
      </c>
      <c r="I180" s="548" t="s">
        <v>23</v>
      </c>
      <c r="J180" s="548" t="s">
        <v>222</v>
      </c>
      <c r="K180" s="560">
        <v>16250</v>
      </c>
      <c r="L180" s="561">
        <v>34.24</v>
      </c>
      <c r="M180" s="552">
        <f t="shared" si="10"/>
        <v>474.59112149532706</v>
      </c>
      <c r="N180" s="562">
        <v>60</v>
      </c>
      <c r="O180" s="563">
        <f t="shared" si="11"/>
        <v>270.83333333333331</v>
      </c>
      <c r="P180" s="564">
        <f t="shared" ca="1" si="12"/>
        <v>207</v>
      </c>
      <c r="Q180" s="552">
        <f t="shared" ca="1" si="13"/>
        <v>-39812.499999999993</v>
      </c>
      <c r="R180" s="563">
        <f t="shared" ca="1" si="14"/>
        <v>1</v>
      </c>
      <c r="S180" s="565" t="s">
        <v>211</v>
      </c>
    </row>
    <row r="181" spans="2:19" ht="39.950000000000003" customHeight="1" x14ac:dyDescent="0.25">
      <c r="B181" s="859">
        <v>39639</v>
      </c>
      <c r="C181" s="558" t="s">
        <v>2349</v>
      </c>
      <c r="D181" s="558"/>
      <c r="E181" s="565" t="s">
        <v>299</v>
      </c>
      <c r="F181" s="548" t="s">
        <v>300</v>
      </c>
      <c r="G181" s="559" t="s">
        <v>301</v>
      </c>
      <c r="H181" s="548" t="s">
        <v>302</v>
      </c>
      <c r="I181" s="548" t="s">
        <v>303</v>
      </c>
      <c r="J181" s="548" t="s">
        <v>4372</v>
      </c>
      <c r="K181" s="560">
        <v>18092.97</v>
      </c>
      <c r="L181" s="561">
        <v>34.299999999999997</v>
      </c>
      <c r="M181" s="552">
        <f t="shared" si="10"/>
        <v>527.49183673469395</v>
      </c>
      <c r="N181" s="562">
        <v>60</v>
      </c>
      <c r="O181" s="563">
        <f t="shared" si="11"/>
        <v>301.54950000000002</v>
      </c>
      <c r="P181" s="564">
        <f t="shared" ca="1" si="12"/>
        <v>207</v>
      </c>
      <c r="Q181" s="552">
        <f t="shared" ca="1" si="13"/>
        <v>-44327.776500000007</v>
      </c>
      <c r="R181" s="563">
        <f t="shared" ca="1" si="14"/>
        <v>1</v>
      </c>
      <c r="S181" s="565" t="s">
        <v>304</v>
      </c>
    </row>
    <row r="182" spans="2:19" ht="39.950000000000003" customHeight="1" x14ac:dyDescent="0.25">
      <c r="B182" s="859">
        <v>39639</v>
      </c>
      <c r="C182" s="558" t="s">
        <v>2349</v>
      </c>
      <c r="D182" s="558"/>
      <c r="E182" s="565" t="s">
        <v>299</v>
      </c>
      <c r="F182" s="548" t="s">
        <v>305</v>
      </c>
      <c r="G182" s="559" t="s">
        <v>301</v>
      </c>
      <c r="H182" s="548" t="s">
        <v>302</v>
      </c>
      <c r="I182" s="548" t="s">
        <v>303</v>
      </c>
      <c r="J182" s="548" t="s">
        <v>4372</v>
      </c>
      <c r="K182" s="560">
        <v>18092.96</v>
      </c>
      <c r="L182" s="561">
        <v>34.299999999999997</v>
      </c>
      <c r="M182" s="552">
        <f t="shared" si="10"/>
        <v>527.49154518950434</v>
      </c>
      <c r="N182" s="562">
        <v>60</v>
      </c>
      <c r="O182" s="563">
        <f t="shared" si="11"/>
        <v>301.54933333333332</v>
      </c>
      <c r="P182" s="564">
        <f t="shared" ca="1" si="12"/>
        <v>207</v>
      </c>
      <c r="Q182" s="552">
        <f t="shared" ca="1" si="13"/>
        <v>-44327.752</v>
      </c>
      <c r="R182" s="563">
        <f t="shared" ca="1" si="14"/>
        <v>1</v>
      </c>
      <c r="S182" s="565" t="s">
        <v>304</v>
      </c>
    </row>
    <row r="183" spans="2:19" ht="39.950000000000003" customHeight="1" x14ac:dyDescent="0.25">
      <c r="B183" s="859">
        <v>39672</v>
      </c>
      <c r="C183" s="558" t="s">
        <v>2349</v>
      </c>
      <c r="D183" s="558"/>
      <c r="E183" s="565" t="s">
        <v>306</v>
      </c>
      <c r="F183" s="548" t="s">
        <v>314</v>
      </c>
      <c r="G183" s="559" t="s">
        <v>315</v>
      </c>
      <c r="H183" s="548" t="s">
        <v>28</v>
      </c>
      <c r="I183" s="548" t="s">
        <v>308</v>
      </c>
      <c r="J183" s="548" t="s">
        <v>309</v>
      </c>
      <c r="K183" s="560">
        <v>4800</v>
      </c>
      <c r="L183" s="561">
        <v>34.700000000000003</v>
      </c>
      <c r="M183" s="552">
        <f t="shared" si="10"/>
        <v>138.32853025936598</v>
      </c>
      <c r="N183" s="562">
        <v>60</v>
      </c>
      <c r="O183" s="563">
        <f t="shared" si="11"/>
        <v>80</v>
      </c>
      <c r="P183" s="564">
        <f t="shared" ca="1" si="12"/>
        <v>206</v>
      </c>
      <c r="Q183" s="552">
        <f t="shared" ca="1" si="13"/>
        <v>-11680</v>
      </c>
      <c r="R183" s="563">
        <f t="shared" ca="1" si="14"/>
        <v>1</v>
      </c>
      <c r="S183" s="565" t="s">
        <v>310</v>
      </c>
    </row>
    <row r="184" spans="2:19" ht="39.950000000000003" customHeight="1" x14ac:dyDescent="0.25">
      <c r="B184" s="859">
        <v>39672</v>
      </c>
      <c r="C184" s="558" t="s">
        <v>2349</v>
      </c>
      <c r="D184" s="558"/>
      <c r="E184" s="565" t="s">
        <v>306</v>
      </c>
      <c r="F184" s="548" t="s">
        <v>312</v>
      </c>
      <c r="G184" s="559" t="s">
        <v>313</v>
      </c>
      <c r="H184" s="548" t="s">
        <v>28</v>
      </c>
      <c r="I184" s="548" t="s">
        <v>308</v>
      </c>
      <c r="J184" s="548" t="s">
        <v>309</v>
      </c>
      <c r="K184" s="560">
        <v>4300</v>
      </c>
      <c r="L184" s="561">
        <v>34.700000000000003</v>
      </c>
      <c r="M184" s="552">
        <f t="shared" si="10"/>
        <v>123.9193083573487</v>
      </c>
      <c r="N184" s="562">
        <v>60</v>
      </c>
      <c r="O184" s="563">
        <f t="shared" si="11"/>
        <v>71.666666666666671</v>
      </c>
      <c r="P184" s="564">
        <f t="shared" ca="1" si="12"/>
        <v>206</v>
      </c>
      <c r="Q184" s="552">
        <f t="shared" ca="1" si="13"/>
        <v>-10463.333333333334</v>
      </c>
      <c r="R184" s="563">
        <f t="shared" ca="1" si="14"/>
        <v>1</v>
      </c>
      <c r="S184" s="565" t="s">
        <v>310</v>
      </c>
    </row>
    <row r="185" spans="2:19" ht="39.950000000000003" customHeight="1" x14ac:dyDescent="0.25">
      <c r="B185" s="859">
        <v>39673</v>
      </c>
      <c r="C185" s="558" t="s">
        <v>2349</v>
      </c>
      <c r="D185" s="558"/>
      <c r="E185" s="565" t="s">
        <v>316</v>
      </c>
      <c r="F185" s="548" t="s">
        <v>360</v>
      </c>
      <c r="G185" s="559" t="s">
        <v>361</v>
      </c>
      <c r="H185" s="548" t="s">
        <v>28</v>
      </c>
      <c r="I185" s="548" t="s">
        <v>318</v>
      </c>
      <c r="J185" s="548" t="s">
        <v>319</v>
      </c>
      <c r="K185" s="560">
        <v>0</v>
      </c>
      <c r="L185" s="561">
        <v>36.1</v>
      </c>
      <c r="M185" s="552">
        <f t="shared" si="10"/>
        <v>0</v>
      </c>
      <c r="N185" s="562">
        <v>60</v>
      </c>
      <c r="O185" s="563">
        <f t="shared" si="11"/>
        <v>0</v>
      </c>
      <c r="P185" s="564">
        <f t="shared" ca="1" si="12"/>
        <v>206</v>
      </c>
      <c r="Q185" s="552">
        <f t="shared" ca="1" si="13"/>
        <v>0</v>
      </c>
      <c r="R185" s="563">
        <f t="shared" ca="1" si="14"/>
        <v>1</v>
      </c>
      <c r="S185" s="565" t="s">
        <v>320</v>
      </c>
    </row>
    <row r="186" spans="2:19" ht="39.950000000000003" customHeight="1" x14ac:dyDescent="0.25">
      <c r="B186" s="859">
        <v>39673</v>
      </c>
      <c r="C186" s="558" t="s">
        <v>2349</v>
      </c>
      <c r="D186" s="558"/>
      <c r="E186" s="565" t="s">
        <v>316</v>
      </c>
      <c r="F186" s="548" t="s">
        <v>362</v>
      </c>
      <c r="G186" s="559" t="s">
        <v>361</v>
      </c>
      <c r="H186" s="548" t="s">
        <v>28</v>
      </c>
      <c r="I186" s="548" t="s">
        <v>318</v>
      </c>
      <c r="J186" s="548" t="s">
        <v>319</v>
      </c>
      <c r="K186" s="560">
        <v>0</v>
      </c>
      <c r="L186" s="561">
        <v>36.1</v>
      </c>
      <c r="M186" s="552">
        <f t="shared" si="10"/>
        <v>0</v>
      </c>
      <c r="N186" s="562">
        <v>60</v>
      </c>
      <c r="O186" s="563">
        <f t="shared" si="11"/>
        <v>0</v>
      </c>
      <c r="P186" s="564">
        <f t="shared" ca="1" si="12"/>
        <v>206</v>
      </c>
      <c r="Q186" s="552">
        <f t="shared" ca="1" si="13"/>
        <v>0</v>
      </c>
      <c r="R186" s="563">
        <f t="shared" ca="1" si="14"/>
        <v>1</v>
      </c>
      <c r="S186" s="565" t="s">
        <v>320</v>
      </c>
    </row>
    <row r="187" spans="2:19" ht="39.950000000000003" customHeight="1" x14ac:dyDescent="0.25">
      <c r="B187" s="859">
        <v>39673</v>
      </c>
      <c r="C187" s="558" t="s">
        <v>2349</v>
      </c>
      <c r="D187" s="558"/>
      <c r="E187" s="565" t="s">
        <v>316</v>
      </c>
      <c r="F187" s="548" t="s">
        <v>340</v>
      </c>
      <c r="G187" s="559" t="s">
        <v>341</v>
      </c>
      <c r="H187" s="548" t="s">
        <v>28</v>
      </c>
      <c r="I187" s="548" t="s">
        <v>318</v>
      </c>
      <c r="J187" s="548" t="s">
        <v>319</v>
      </c>
      <c r="K187" s="560">
        <v>350</v>
      </c>
      <c r="L187" s="561">
        <v>36.1</v>
      </c>
      <c r="M187" s="552">
        <f t="shared" si="10"/>
        <v>9.6952908587257607</v>
      </c>
      <c r="N187" s="562">
        <v>60</v>
      </c>
      <c r="O187" s="563">
        <f t="shared" si="11"/>
        <v>5.833333333333333</v>
      </c>
      <c r="P187" s="564">
        <f t="shared" ca="1" si="12"/>
        <v>206</v>
      </c>
      <c r="Q187" s="552">
        <f t="shared" ca="1" si="13"/>
        <v>-851.66666666666652</v>
      </c>
      <c r="R187" s="563">
        <f t="shared" ca="1" si="14"/>
        <v>1</v>
      </c>
      <c r="S187" s="565" t="s">
        <v>320</v>
      </c>
    </row>
    <row r="188" spans="2:19" ht="39.950000000000003" customHeight="1" x14ac:dyDescent="0.25">
      <c r="B188" s="859">
        <v>39673</v>
      </c>
      <c r="C188" s="558" t="s">
        <v>2349</v>
      </c>
      <c r="D188" s="558"/>
      <c r="E188" s="565" t="s">
        <v>316</v>
      </c>
      <c r="F188" s="548" t="s">
        <v>342</v>
      </c>
      <c r="G188" s="559" t="s">
        <v>341</v>
      </c>
      <c r="H188" s="548" t="s">
        <v>28</v>
      </c>
      <c r="I188" s="548" t="s">
        <v>318</v>
      </c>
      <c r="J188" s="548" t="s">
        <v>319</v>
      </c>
      <c r="K188" s="560">
        <v>350</v>
      </c>
      <c r="L188" s="561">
        <v>36.1</v>
      </c>
      <c r="M188" s="552">
        <f t="shared" si="10"/>
        <v>9.6952908587257607</v>
      </c>
      <c r="N188" s="562">
        <v>60</v>
      </c>
      <c r="O188" s="563">
        <f t="shared" si="11"/>
        <v>5.833333333333333</v>
      </c>
      <c r="P188" s="564">
        <f t="shared" ca="1" si="12"/>
        <v>206</v>
      </c>
      <c r="Q188" s="552">
        <f t="shared" ca="1" si="13"/>
        <v>-851.66666666666652</v>
      </c>
      <c r="R188" s="563">
        <f t="shared" ca="1" si="14"/>
        <v>1</v>
      </c>
      <c r="S188" s="565" t="s">
        <v>320</v>
      </c>
    </row>
    <row r="189" spans="2:19" ht="39.950000000000003" customHeight="1" x14ac:dyDescent="0.25">
      <c r="B189" s="859">
        <v>39673</v>
      </c>
      <c r="C189" s="558" t="s">
        <v>2349</v>
      </c>
      <c r="D189" s="558"/>
      <c r="E189" s="565" t="s">
        <v>316</v>
      </c>
      <c r="F189" s="548" t="s">
        <v>337</v>
      </c>
      <c r="G189" s="559" t="s">
        <v>338</v>
      </c>
      <c r="H189" s="548" t="s">
        <v>28</v>
      </c>
      <c r="I189" s="548" t="s">
        <v>318</v>
      </c>
      <c r="J189" s="548" t="s">
        <v>319</v>
      </c>
      <c r="K189" s="560">
        <v>270</v>
      </c>
      <c r="L189" s="561">
        <v>36.1</v>
      </c>
      <c r="M189" s="552">
        <f t="shared" si="10"/>
        <v>7.4792243767313016</v>
      </c>
      <c r="N189" s="562">
        <v>60</v>
      </c>
      <c r="O189" s="563">
        <f t="shared" si="11"/>
        <v>4.5</v>
      </c>
      <c r="P189" s="564">
        <f t="shared" ca="1" si="12"/>
        <v>206</v>
      </c>
      <c r="Q189" s="552">
        <f t="shared" ca="1" si="13"/>
        <v>-657</v>
      </c>
      <c r="R189" s="563">
        <f t="shared" ca="1" si="14"/>
        <v>1</v>
      </c>
      <c r="S189" s="565" t="s">
        <v>320</v>
      </c>
    </row>
    <row r="190" spans="2:19" ht="39.950000000000003" customHeight="1" x14ac:dyDescent="0.25">
      <c r="B190" s="859">
        <v>39673</v>
      </c>
      <c r="C190" s="558" t="s">
        <v>2349</v>
      </c>
      <c r="D190" s="558"/>
      <c r="E190" s="565" t="s">
        <v>316</v>
      </c>
      <c r="F190" s="548" t="s">
        <v>339</v>
      </c>
      <c r="G190" s="559" t="s">
        <v>338</v>
      </c>
      <c r="H190" s="548" t="s">
        <v>28</v>
      </c>
      <c r="I190" s="548" t="s">
        <v>318</v>
      </c>
      <c r="J190" s="548" t="s">
        <v>319</v>
      </c>
      <c r="K190" s="560">
        <v>270</v>
      </c>
      <c r="L190" s="561">
        <v>36.1</v>
      </c>
      <c r="M190" s="552">
        <f t="shared" si="10"/>
        <v>7.4792243767313016</v>
      </c>
      <c r="N190" s="562">
        <v>60</v>
      </c>
      <c r="O190" s="563">
        <f t="shared" si="11"/>
        <v>4.5</v>
      </c>
      <c r="P190" s="564">
        <f t="shared" ca="1" si="12"/>
        <v>206</v>
      </c>
      <c r="Q190" s="552">
        <f t="shared" ca="1" si="13"/>
        <v>-657</v>
      </c>
      <c r="R190" s="563">
        <f t="shared" ca="1" si="14"/>
        <v>1</v>
      </c>
      <c r="S190" s="565" t="s">
        <v>320</v>
      </c>
    </row>
    <row r="191" spans="2:19" ht="39.950000000000003" customHeight="1" x14ac:dyDescent="0.25">
      <c r="B191" s="859">
        <v>39673</v>
      </c>
      <c r="C191" s="558" t="s">
        <v>2349</v>
      </c>
      <c r="D191" s="558"/>
      <c r="E191" s="565" t="s">
        <v>316</v>
      </c>
      <c r="F191" s="548" t="s">
        <v>358</v>
      </c>
      <c r="G191" s="559" t="s">
        <v>359</v>
      </c>
      <c r="H191" s="548" t="s">
        <v>28</v>
      </c>
      <c r="I191" s="548" t="s">
        <v>318</v>
      </c>
      <c r="J191" s="548" t="s">
        <v>319</v>
      </c>
      <c r="K191" s="560">
        <v>0</v>
      </c>
      <c r="L191" s="561">
        <v>36.1</v>
      </c>
      <c r="M191" s="552">
        <f t="shared" si="10"/>
        <v>0</v>
      </c>
      <c r="N191" s="562">
        <v>60</v>
      </c>
      <c r="O191" s="563">
        <f t="shared" si="11"/>
        <v>0</v>
      </c>
      <c r="P191" s="564">
        <f t="shared" ca="1" si="12"/>
        <v>206</v>
      </c>
      <c r="Q191" s="552">
        <f t="shared" ca="1" si="13"/>
        <v>0</v>
      </c>
      <c r="R191" s="563">
        <f t="shared" ca="1" si="14"/>
        <v>1</v>
      </c>
      <c r="S191" s="565" t="s">
        <v>320</v>
      </c>
    </row>
    <row r="192" spans="2:19" ht="39.950000000000003" customHeight="1" x14ac:dyDescent="0.25">
      <c r="B192" s="859">
        <v>39673</v>
      </c>
      <c r="C192" s="558" t="s">
        <v>2349</v>
      </c>
      <c r="D192" s="558"/>
      <c r="E192" s="565" t="s">
        <v>316</v>
      </c>
      <c r="F192" s="548" t="s">
        <v>336</v>
      </c>
      <c r="G192" s="559" t="s">
        <v>335</v>
      </c>
      <c r="H192" s="548" t="s">
        <v>28</v>
      </c>
      <c r="I192" s="548" t="s">
        <v>318</v>
      </c>
      <c r="J192" s="548" t="s">
        <v>319</v>
      </c>
      <c r="K192" s="560">
        <v>526.29999999999995</v>
      </c>
      <c r="L192" s="561">
        <v>36.1</v>
      </c>
      <c r="M192" s="552">
        <f t="shared" si="10"/>
        <v>14.578947368421051</v>
      </c>
      <c r="N192" s="562">
        <v>60</v>
      </c>
      <c r="O192" s="563">
        <f t="shared" si="11"/>
        <v>8.7716666666666665</v>
      </c>
      <c r="P192" s="564">
        <f t="shared" ca="1" si="12"/>
        <v>206</v>
      </c>
      <c r="Q192" s="552">
        <f t="shared" ca="1" si="13"/>
        <v>-1280.6633333333334</v>
      </c>
      <c r="R192" s="563">
        <f t="shared" ca="1" si="14"/>
        <v>1</v>
      </c>
      <c r="S192" s="565" t="s">
        <v>320</v>
      </c>
    </row>
    <row r="193" spans="2:19" ht="39.950000000000003" customHeight="1" x14ac:dyDescent="0.25">
      <c r="B193" s="859">
        <v>39673</v>
      </c>
      <c r="C193" s="558" t="s">
        <v>2349</v>
      </c>
      <c r="D193" s="558"/>
      <c r="E193" s="565" t="s">
        <v>316</v>
      </c>
      <c r="F193" s="548" t="s">
        <v>357</v>
      </c>
      <c r="G193" s="559" t="s">
        <v>356</v>
      </c>
      <c r="H193" s="548" t="s">
        <v>28</v>
      </c>
      <c r="I193" s="548" t="s">
        <v>318</v>
      </c>
      <c r="J193" s="548" t="s">
        <v>319</v>
      </c>
      <c r="K193" s="560">
        <v>0</v>
      </c>
      <c r="L193" s="561">
        <v>36.1</v>
      </c>
      <c r="M193" s="552">
        <f t="shared" si="10"/>
        <v>0</v>
      </c>
      <c r="N193" s="562">
        <v>60</v>
      </c>
      <c r="O193" s="563">
        <f t="shared" si="11"/>
        <v>0</v>
      </c>
      <c r="P193" s="564">
        <f t="shared" ca="1" si="12"/>
        <v>206</v>
      </c>
      <c r="Q193" s="552">
        <f t="shared" ca="1" si="13"/>
        <v>0</v>
      </c>
      <c r="R193" s="563">
        <f t="shared" ca="1" si="14"/>
        <v>1</v>
      </c>
      <c r="S193" s="565" t="s">
        <v>320</v>
      </c>
    </row>
    <row r="194" spans="2:19" ht="39.950000000000003" customHeight="1" x14ac:dyDescent="0.25">
      <c r="B194" s="859">
        <v>39673</v>
      </c>
      <c r="C194" s="558" t="s">
        <v>2349</v>
      </c>
      <c r="D194" s="558"/>
      <c r="E194" s="565" t="s">
        <v>316</v>
      </c>
      <c r="F194" s="548" t="s">
        <v>331</v>
      </c>
      <c r="G194" s="559" t="s">
        <v>332</v>
      </c>
      <c r="H194" s="548" t="s">
        <v>28</v>
      </c>
      <c r="I194" s="548" t="s">
        <v>318</v>
      </c>
      <c r="J194" s="548" t="s">
        <v>319</v>
      </c>
      <c r="K194" s="560">
        <v>781.5</v>
      </c>
      <c r="L194" s="561">
        <v>36.1</v>
      </c>
      <c r="M194" s="552">
        <f t="shared" si="10"/>
        <v>21.64819944598338</v>
      </c>
      <c r="N194" s="562">
        <v>60</v>
      </c>
      <c r="O194" s="563">
        <f t="shared" si="11"/>
        <v>13.025</v>
      </c>
      <c r="P194" s="564">
        <f t="shared" ca="1" si="12"/>
        <v>206</v>
      </c>
      <c r="Q194" s="552">
        <f t="shared" ca="1" si="13"/>
        <v>-1901.65</v>
      </c>
      <c r="R194" s="563">
        <f t="shared" ca="1" si="14"/>
        <v>1</v>
      </c>
      <c r="S194" s="565" t="s">
        <v>320</v>
      </c>
    </row>
    <row r="195" spans="2:19" ht="39.950000000000003" customHeight="1" x14ac:dyDescent="0.25">
      <c r="B195" s="859">
        <v>39673</v>
      </c>
      <c r="C195" s="558" t="s">
        <v>2349</v>
      </c>
      <c r="D195" s="558"/>
      <c r="E195" s="565" t="s">
        <v>316</v>
      </c>
      <c r="F195" s="548" t="s">
        <v>333</v>
      </c>
      <c r="G195" s="559" t="s">
        <v>332</v>
      </c>
      <c r="H195" s="548" t="s">
        <v>28</v>
      </c>
      <c r="I195" s="548" t="s">
        <v>318</v>
      </c>
      <c r="J195" s="548" t="s">
        <v>319</v>
      </c>
      <c r="K195" s="560">
        <v>781.5</v>
      </c>
      <c r="L195" s="561">
        <v>36.1</v>
      </c>
      <c r="M195" s="552">
        <f t="shared" si="10"/>
        <v>21.64819944598338</v>
      </c>
      <c r="N195" s="562">
        <v>60</v>
      </c>
      <c r="O195" s="563">
        <f t="shared" si="11"/>
        <v>13.025</v>
      </c>
      <c r="P195" s="564">
        <f t="shared" ca="1" si="12"/>
        <v>206</v>
      </c>
      <c r="Q195" s="552">
        <f t="shared" ca="1" si="13"/>
        <v>-1901.65</v>
      </c>
      <c r="R195" s="563">
        <f t="shared" ca="1" si="14"/>
        <v>1</v>
      </c>
      <c r="S195" s="565" t="s">
        <v>320</v>
      </c>
    </row>
    <row r="196" spans="2:19" ht="39.950000000000003" customHeight="1" x14ac:dyDescent="0.25">
      <c r="B196" s="859">
        <v>39673</v>
      </c>
      <c r="C196" s="558" t="s">
        <v>2349</v>
      </c>
      <c r="D196" s="558"/>
      <c r="E196" s="565" t="s">
        <v>316</v>
      </c>
      <c r="F196" s="548" t="s">
        <v>334</v>
      </c>
      <c r="G196" s="559" t="s">
        <v>332</v>
      </c>
      <c r="H196" s="548" t="s">
        <v>28</v>
      </c>
      <c r="I196" s="548" t="s">
        <v>318</v>
      </c>
      <c r="J196" s="548" t="s">
        <v>319</v>
      </c>
      <c r="K196" s="560">
        <v>781.5</v>
      </c>
      <c r="L196" s="561">
        <v>36.1</v>
      </c>
      <c r="M196" s="552">
        <f t="shared" si="10"/>
        <v>21.64819944598338</v>
      </c>
      <c r="N196" s="562">
        <v>60</v>
      </c>
      <c r="O196" s="563">
        <f t="shared" si="11"/>
        <v>13.025</v>
      </c>
      <c r="P196" s="564">
        <f t="shared" ca="1" si="12"/>
        <v>206</v>
      </c>
      <c r="Q196" s="552">
        <f t="shared" ca="1" si="13"/>
        <v>-1901.65</v>
      </c>
      <c r="R196" s="563">
        <f t="shared" ca="1" si="14"/>
        <v>1</v>
      </c>
      <c r="S196" s="565" t="s">
        <v>320</v>
      </c>
    </row>
    <row r="197" spans="2:19" ht="39.950000000000003" customHeight="1" x14ac:dyDescent="0.25">
      <c r="B197" s="859">
        <v>39673</v>
      </c>
      <c r="C197" s="558" t="s">
        <v>2349</v>
      </c>
      <c r="D197" s="558"/>
      <c r="E197" s="565" t="s">
        <v>316</v>
      </c>
      <c r="F197" s="548" t="s">
        <v>327</v>
      </c>
      <c r="G197" s="559" t="s">
        <v>328</v>
      </c>
      <c r="H197" s="548" t="s">
        <v>28</v>
      </c>
      <c r="I197" s="548" t="s">
        <v>318</v>
      </c>
      <c r="J197" s="548" t="s">
        <v>319</v>
      </c>
      <c r="K197" s="560">
        <v>661</v>
      </c>
      <c r="L197" s="561">
        <v>36.1</v>
      </c>
      <c r="M197" s="552">
        <f t="shared" si="10"/>
        <v>18.310249307479225</v>
      </c>
      <c r="N197" s="562">
        <v>60</v>
      </c>
      <c r="O197" s="563">
        <f t="shared" si="11"/>
        <v>11.016666666666667</v>
      </c>
      <c r="P197" s="564">
        <f t="shared" ca="1" si="12"/>
        <v>206</v>
      </c>
      <c r="Q197" s="552">
        <f t="shared" ca="1" si="13"/>
        <v>-1608.4333333333334</v>
      </c>
      <c r="R197" s="563">
        <f t="shared" ca="1" si="14"/>
        <v>1</v>
      </c>
      <c r="S197" s="565" t="s">
        <v>320</v>
      </c>
    </row>
    <row r="198" spans="2:19" ht="39.950000000000003" customHeight="1" x14ac:dyDescent="0.25">
      <c r="B198" s="859">
        <v>39673</v>
      </c>
      <c r="C198" s="558" t="s">
        <v>2349</v>
      </c>
      <c r="D198" s="558"/>
      <c r="E198" s="565" t="s">
        <v>316</v>
      </c>
      <c r="F198" s="548" t="s">
        <v>329</v>
      </c>
      <c r="G198" s="559" t="s">
        <v>328</v>
      </c>
      <c r="H198" s="548" t="s">
        <v>28</v>
      </c>
      <c r="I198" s="548" t="s">
        <v>318</v>
      </c>
      <c r="J198" s="548" t="s">
        <v>319</v>
      </c>
      <c r="K198" s="560">
        <v>661</v>
      </c>
      <c r="L198" s="561">
        <v>36.1</v>
      </c>
      <c r="M198" s="552">
        <f t="shared" si="10"/>
        <v>18.310249307479225</v>
      </c>
      <c r="N198" s="562">
        <v>60</v>
      </c>
      <c r="O198" s="563">
        <f t="shared" si="11"/>
        <v>11.016666666666667</v>
      </c>
      <c r="P198" s="564">
        <f t="shared" ca="1" si="12"/>
        <v>206</v>
      </c>
      <c r="Q198" s="552">
        <f t="shared" ca="1" si="13"/>
        <v>-1608.4333333333334</v>
      </c>
      <c r="R198" s="563">
        <f t="shared" ca="1" si="14"/>
        <v>1</v>
      </c>
      <c r="S198" s="565" t="s">
        <v>320</v>
      </c>
    </row>
    <row r="199" spans="2:19" ht="39.950000000000003" customHeight="1" x14ac:dyDescent="0.25">
      <c r="B199" s="859">
        <v>39673</v>
      </c>
      <c r="C199" s="558" t="s">
        <v>2349</v>
      </c>
      <c r="D199" s="558"/>
      <c r="E199" s="565" t="s">
        <v>316</v>
      </c>
      <c r="F199" s="548" t="s">
        <v>330</v>
      </c>
      <c r="G199" s="559" t="s">
        <v>328</v>
      </c>
      <c r="H199" s="548" t="s">
        <v>28</v>
      </c>
      <c r="I199" s="548" t="s">
        <v>318</v>
      </c>
      <c r="J199" s="548" t="s">
        <v>319</v>
      </c>
      <c r="K199" s="560">
        <v>661</v>
      </c>
      <c r="L199" s="561">
        <v>36.1</v>
      </c>
      <c r="M199" s="552">
        <f t="shared" si="10"/>
        <v>18.310249307479225</v>
      </c>
      <c r="N199" s="562">
        <v>60</v>
      </c>
      <c r="O199" s="563">
        <f t="shared" si="11"/>
        <v>11.016666666666667</v>
      </c>
      <c r="P199" s="564">
        <f t="shared" ca="1" si="12"/>
        <v>206</v>
      </c>
      <c r="Q199" s="552">
        <f t="shared" ca="1" si="13"/>
        <v>-1608.4333333333334</v>
      </c>
      <c r="R199" s="563">
        <f t="shared" ca="1" si="14"/>
        <v>1</v>
      </c>
      <c r="S199" s="565" t="s">
        <v>320</v>
      </c>
    </row>
    <row r="200" spans="2:19" ht="39.950000000000003" customHeight="1" x14ac:dyDescent="0.25">
      <c r="B200" s="859">
        <v>39673</v>
      </c>
      <c r="C200" s="558" t="s">
        <v>2349</v>
      </c>
      <c r="D200" s="558"/>
      <c r="E200" s="565" t="s">
        <v>316</v>
      </c>
      <c r="F200" s="548" t="s">
        <v>354</v>
      </c>
      <c r="G200" s="559" t="s">
        <v>355</v>
      </c>
      <c r="H200" s="548" t="s">
        <v>28</v>
      </c>
      <c r="I200" s="548" t="s">
        <v>318</v>
      </c>
      <c r="J200" s="548" t="s">
        <v>319</v>
      </c>
      <c r="K200" s="560">
        <v>0</v>
      </c>
      <c r="L200" s="561">
        <v>36.1</v>
      </c>
      <c r="M200" s="552">
        <f t="shared" ref="M200:M263" si="15">+K200/L200</f>
        <v>0</v>
      </c>
      <c r="N200" s="562">
        <v>60</v>
      </c>
      <c r="O200" s="563">
        <f t="shared" ref="O200:O263" si="16">IF(AND(K200&lt;&gt;0,N200&lt;&gt;0),K200/N200,0)</f>
        <v>0</v>
      </c>
      <c r="P200" s="564">
        <f t="shared" ref="P200:P263" ca="1" si="17">IF(B200&lt;&gt;0,(ROUND((NOW()-B200)/30,0)),0)</f>
        <v>206</v>
      </c>
      <c r="Q200" s="552">
        <f t="shared" ref="Q200:Q263" ca="1" si="18">IF(OR(K200=0,N200=0,P200=0),0,K200-(O200*P200))</f>
        <v>0</v>
      </c>
      <c r="R200" s="563">
        <f t="shared" ref="R200:R263" ca="1" si="19">IF(Q200&lt;1,1,Q200)</f>
        <v>1</v>
      </c>
      <c r="S200" s="565" t="s">
        <v>320</v>
      </c>
    </row>
    <row r="201" spans="2:19" ht="39.950000000000003" customHeight="1" x14ac:dyDescent="0.25">
      <c r="B201" s="859">
        <v>39673</v>
      </c>
      <c r="C201" s="558" t="s">
        <v>2349</v>
      </c>
      <c r="D201" s="558"/>
      <c r="E201" s="565" t="s">
        <v>316</v>
      </c>
      <c r="F201" s="548" t="s">
        <v>325</v>
      </c>
      <c r="G201" s="559" t="s">
        <v>326</v>
      </c>
      <c r="H201" s="548" t="s">
        <v>28</v>
      </c>
      <c r="I201" s="548" t="s">
        <v>318</v>
      </c>
      <c r="J201" s="548" t="s">
        <v>319</v>
      </c>
      <c r="K201" s="560">
        <v>3714</v>
      </c>
      <c r="L201" s="561">
        <v>36.1</v>
      </c>
      <c r="M201" s="552">
        <f t="shared" si="15"/>
        <v>102.8808864265928</v>
      </c>
      <c r="N201" s="562">
        <v>60</v>
      </c>
      <c r="O201" s="563">
        <f t="shared" si="16"/>
        <v>61.9</v>
      </c>
      <c r="P201" s="564">
        <f t="shared" ca="1" si="17"/>
        <v>206</v>
      </c>
      <c r="Q201" s="552">
        <f t="shared" ca="1" si="18"/>
        <v>-9037.4</v>
      </c>
      <c r="R201" s="563">
        <f t="shared" ca="1" si="19"/>
        <v>1</v>
      </c>
      <c r="S201" s="565" t="s">
        <v>320</v>
      </c>
    </row>
    <row r="202" spans="2:19" ht="39.950000000000003" customHeight="1" x14ac:dyDescent="0.25">
      <c r="B202" s="859">
        <v>39673</v>
      </c>
      <c r="C202" s="558" t="s">
        <v>2349</v>
      </c>
      <c r="D202" s="558"/>
      <c r="E202" s="565" t="s">
        <v>316</v>
      </c>
      <c r="F202" s="548" t="s">
        <v>352</v>
      </c>
      <c r="G202" s="559" t="s">
        <v>351</v>
      </c>
      <c r="H202" s="548" t="s">
        <v>28</v>
      </c>
      <c r="I202" s="548" t="s">
        <v>318</v>
      </c>
      <c r="J202" s="548" t="s">
        <v>319</v>
      </c>
      <c r="K202" s="560">
        <v>0</v>
      </c>
      <c r="L202" s="561">
        <v>36.1</v>
      </c>
      <c r="M202" s="552">
        <f t="shared" si="15"/>
        <v>0</v>
      </c>
      <c r="N202" s="562">
        <v>60</v>
      </c>
      <c r="O202" s="563">
        <f t="shared" si="16"/>
        <v>0</v>
      </c>
      <c r="P202" s="564">
        <f t="shared" ca="1" si="17"/>
        <v>206</v>
      </c>
      <c r="Q202" s="552">
        <f t="shared" ca="1" si="18"/>
        <v>0</v>
      </c>
      <c r="R202" s="563">
        <f t="shared" ca="1" si="19"/>
        <v>1</v>
      </c>
      <c r="S202" s="565" t="s">
        <v>320</v>
      </c>
    </row>
    <row r="203" spans="2:19" ht="39.950000000000003" customHeight="1" x14ac:dyDescent="0.25">
      <c r="B203" s="859">
        <v>39673</v>
      </c>
      <c r="C203" s="558" t="s">
        <v>2349</v>
      </c>
      <c r="D203" s="558"/>
      <c r="E203" s="565" t="s">
        <v>316</v>
      </c>
      <c r="F203" s="548" t="s">
        <v>353</v>
      </c>
      <c r="G203" s="559" t="s">
        <v>351</v>
      </c>
      <c r="H203" s="548" t="s">
        <v>28</v>
      </c>
      <c r="I203" s="548" t="s">
        <v>318</v>
      </c>
      <c r="J203" s="548" t="s">
        <v>319</v>
      </c>
      <c r="K203" s="560">
        <v>0</v>
      </c>
      <c r="L203" s="561">
        <v>36.1</v>
      </c>
      <c r="M203" s="552">
        <f t="shared" si="15"/>
        <v>0</v>
      </c>
      <c r="N203" s="562">
        <v>60</v>
      </c>
      <c r="O203" s="563">
        <f t="shared" si="16"/>
        <v>0</v>
      </c>
      <c r="P203" s="564">
        <f t="shared" ca="1" si="17"/>
        <v>206</v>
      </c>
      <c r="Q203" s="552">
        <f t="shared" ca="1" si="18"/>
        <v>0</v>
      </c>
      <c r="R203" s="563">
        <f t="shared" ca="1" si="19"/>
        <v>1</v>
      </c>
      <c r="S203" s="565" t="s">
        <v>320</v>
      </c>
    </row>
    <row r="204" spans="2:19" ht="39.950000000000003" customHeight="1" x14ac:dyDescent="0.25">
      <c r="B204" s="859">
        <v>39673</v>
      </c>
      <c r="C204" s="558" t="s">
        <v>2349</v>
      </c>
      <c r="D204" s="558"/>
      <c r="E204" s="565" t="s">
        <v>316</v>
      </c>
      <c r="F204" s="548" t="s">
        <v>349</v>
      </c>
      <c r="G204" s="559" t="s">
        <v>348</v>
      </c>
      <c r="H204" s="548" t="s">
        <v>28</v>
      </c>
      <c r="I204" s="548" t="s">
        <v>318</v>
      </c>
      <c r="J204" s="548" t="s">
        <v>319</v>
      </c>
      <c r="K204" s="560">
        <v>0</v>
      </c>
      <c r="L204" s="561">
        <v>36.1</v>
      </c>
      <c r="M204" s="552">
        <f t="shared" si="15"/>
        <v>0</v>
      </c>
      <c r="N204" s="562">
        <v>60</v>
      </c>
      <c r="O204" s="563">
        <f t="shared" si="16"/>
        <v>0</v>
      </c>
      <c r="P204" s="564">
        <f t="shared" ca="1" si="17"/>
        <v>206</v>
      </c>
      <c r="Q204" s="552">
        <f t="shared" ca="1" si="18"/>
        <v>0</v>
      </c>
      <c r="R204" s="563">
        <f t="shared" ca="1" si="19"/>
        <v>1</v>
      </c>
      <c r="S204" s="565" t="s">
        <v>320</v>
      </c>
    </row>
    <row r="205" spans="2:19" ht="39.950000000000003" customHeight="1" x14ac:dyDescent="0.25">
      <c r="B205" s="859">
        <v>39673</v>
      </c>
      <c r="C205" s="558" t="s">
        <v>2349</v>
      </c>
      <c r="D205" s="558"/>
      <c r="E205" s="565" t="s">
        <v>316</v>
      </c>
      <c r="F205" s="548" t="s">
        <v>350</v>
      </c>
      <c r="G205" s="559" t="s">
        <v>348</v>
      </c>
      <c r="H205" s="548" t="s">
        <v>28</v>
      </c>
      <c r="I205" s="548" t="s">
        <v>318</v>
      </c>
      <c r="J205" s="548" t="s">
        <v>319</v>
      </c>
      <c r="K205" s="560">
        <v>0</v>
      </c>
      <c r="L205" s="561">
        <v>36.1</v>
      </c>
      <c r="M205" s="552">
        <f t="shared" si="15"/>
        <v>0</v>
      </c>
      <c r="N205" s="562">
        <v>60</v>
      </c>
      <c r="O205" s="563">
        <f t="shared" si="16"/>
        <v>0</v>
      </c>
      <c r="P205" s="564">
        <f t="shared" ca="1" si="17"/>
        <v>206</v>
      </c>
      <c r="Q205" s="552">
        <f t="shared" ca="1" si="18"/>
        <v>0</v>
      </c>
      <c r="R205" s="563">
        <f t="shared" ca="1" si="19"/>
        <v>1</v>
      </c>
      <c r="S205" s="565" t="s">
        <v>320</v>
      </c>
    </row>
    <row r="206" spans="2:19" ht="39.950000000000003" customHeight="1" x14ac:dyDescent="0.25">
      <c r="B206" s="859">
        <v>39673</v>
      </c>
      <c r="C206" s="558" t="s">
        <v>2349</v>
      </c>
      <c r="D206" s="558"/>
      <c r="E206" s="565" t="s">
        <v>316</v>
      </c>
      <c r="F206" s="548" t="s">
        <v>346</v>
      </c>
      <c r="G206" s="559" t="s">
        <v>347</v>
      </c>
      <c r="H206" s="548" t="s">
        <v>28</v>
      </c>
      <c r="I206" s="548" t="s">
        <v>1443</v>
      </c>
      <c r="J206" s="548" t="s">
        <v>319</v>
      </c>
      <c r="K206" s="560">
        <v>0</v>
      </c>
      <c r="L206" s="561">
        <v>36.1</v>
      </c>
      <c r="M206" s="552">
        <f t="shared" si="15"/>
        <v>0</v>
      </c>
      <c r="N206" s="562">
        <v>60</v>
      </c>
      <c r="O206" s="563">
        <f t="shared" si="16"/>
        <v>0</v>
      </c>
      <c r="P206" s="564">
        <f t="shared" ca="1" si="17"/>
        <v>206</v>
      </c>
      <c r="Q206" s="552">
        <f t="shared" ca="1" si="18"/>
        <v>0</v>
      </c>
      <c r="R206" s="563">
        <f t="shared" ca="1" si="19"/>
        <v>1</v>
      </c>
      <c r="S206" s="565" t="s">
        <v>320</v>
      </c>
    </row>
    <row r="207" spans="2:19" ht="39.950000000000003" customHeight="1" x14ac:dyDescent="0.25">
      <c r="B207" s="859">
        <v>39673</v>
      </c>
      <c r="C207" s="558" t="s">
        <v>2349</v>
      </c>
      <c r="D207" s="558"/>
      <c r="E207" s="565" t="s">
        <v>316</v>
      </c>
      <c r="F207" s="548" t="s">
        <v>343</v>
      </c>
      <c r="G207" s="559" t="s">
        <v>344</v>
      </c>
      <c r="H207" s="548" t="s">
        <v>28</v>
      </c>
      <c r="I207" s="548" t="s">
        <v>318</v>
      </c>
      <c r="J207" s="548" t="s">
        <v>319</v>
      </c>
      <c r="K207" s="560">
        <v>0</v>
      </c>
      <c r="L207" s="561">
        <v>36.1</v>
      </c>
      <c r="M207" s="552">
        <f t="shared" si="15"/>
        <v>0</v>
      </c>
      <c r="N207" s="562">
        <v>60</v>
      </c>
      <c r="O207" s="563">
        <f t="shared" si="16"/>
        <v>0</v>
      </c>
      <c r="P207" s="564">
        <f t="shared" ca="1" si="17"/>
        <v>206</v>
      </c>
      <c r="Q207" s="552">
        <f t="shared" ca="1" si="18"/>
        <v>0</v>
      </c>
      <c r="R207" s="563">
        <f t="shared" ca="1" si="19"/>
        <v>1</v>
      </c>
      <c r="S207" s="565" t="s">
        <v>320</v>
      </c>
    </row>
    <row r="208" spans="2:19" ht="39.950000000000003" customHeight="1" x14ac:dyDescent="0.25">
      <c r="B208" s="859">
        <v>39673</v>
      </c>
      <c r="C208" s="558" t="s">
        <v>2349</v>
      </c>
      <c r="D208" s="558"/>
      <c r="E208" s="565" t="s">
        <v>316</v>
      </c>
      <c r="F208" s="548" t="s">
        <v>345</v>
      </c>
      <c r="G208" s="559" t="s">
        <v>344</v>
      </c>
      <c r="H208" s="548" t="s">
        <v>28</v>
      </c>
      <c r="I208" s="548" t="s">
        <v>318</v>
      </c>
      <c r="J208" s="548" t="s">
        <v>319</v>
      </c>
      <c r="K208" s="560">
        <v>0</v>
      </c>
      <c r="L208" s="561">
        <v>36.1</v>
      </c>
      <c r="M208" s="552">
        <f t="shared" si="15"/>
        <v>0</v>
      </c>
      <c r="N208" s="562">
        <v>60</v>
      </c>
      <c r="O208" s="563">
        <f t="shared" si="16"/>
        <v>0</v>
      </c>
      <c r="P208" s="564">
        <f t="shared" ca="1" si="17"/>
        <v>206</v>
      </c>
      <c r="Q208" s="552">
        <f t="shared" ca="1" si="18"/>
        <v>0</v>
      </c>
      <c r="R208" s="563">
        <f t="shared" ca="1" si="19"/>
        <v>1</v>
      </c>
      <c r="S208" s="565" t="s">
        <v>320</v>
      </c>
    </row>
    <row r="209" spans="2:19" ht="39.950000000000003" customHeight="1" x14ac:dyDescent="0.25">
      <c r="B209" s="859">
        <v>39673</v>
      </c>
      <c r="C209" s="558" t="s">
        <v>2349</v>
      </c>
      <c r="D209" s="558"/>
      <c r="E209" s="565" t="s">
        <v>316</v>
      </c>
      <c r="F209" s="548" t="s">
        <v>322</v>
      </c>
      <c r="G209" s="559" t="s">
        <v>323</v>
      </c>
      <c r="H209" s="548" t="s">
        <v>28</v>
      </c>
      <c r="I209" s="548" t="s">
        <v>318</v>
      </c>
      <c r="J209" s="548" t="s">
        <v>319</v>
      </c>
      <c r="K209" s="560">
        <v>860</v>
      </c>
      <c r="L209" s="561">
        <v>36.1</v>
      </c>
      <c r="M209" s="552">
        <f t="shared" si="15"/>
        <v>23.822714681440441</v>
      </c>
      <c r="N209" s="562">
        <v>60</v>
      </c>
      <c r="O209" s="563">
        <f t="shared" si="16"/>
        <v>14.333333333333334</v>
      </c>
      <c r="P209" s="564">
        <f t="shared" ca="1" si="17"/>
        <v>206</v>
      </c>
      <c r="Q209" s="552">
        <f t="shared" ca="1" si="18"/>
        <v>-2092.666666666667</v>
      </c>
      <c r="R209" s="563">
        <f t="shared" ca="1" si="19"/>
        <v>1</v>
      </c>
      <c r="S209" s="565" t="s">
        <v>320</v>
      </c>
    </row>
    <row r="210" spans="2:19" ht="39.950000000000003" customHeight="1" x14ac:dyDescent="0.25">
      <c r="B210" s="859">
        <v>39673</v>
      </c>
      <c r="C210" s="558" t="s">
        <v>2349</v>
      </c>
      <c r="D210" s="558"/>
      <c r="E210" s="565" t="s">
        <v>316</v>
      </c>
      <c r="F210" s="548" t="s">
        <v>324</v>
      </c>
      <c r="G210" s="559" t="s">
        <v>323</v>
      </c>
      <c r="H210" s="548" t="s">
        <v>28</v>
      </c>
      <c r="I210" s="548" t="s">
        <v>318</v>
      </c>
      <c r="J210" s="548" t="s">
        <v>319</v>
      </c>
      <c r="K210" s="560">
        <v>860</v>
      </c>
      <c r="L210" s="561">
        <v>36.1</v>
      </c>
      <c r="M210" s="552">
        <f t="shared" si="15"/>
        <v>23.822714681440441</v>
      </c>
      <c r="N210" s="562">
        <v>60</v>
      </c>
      <c r="O210" s="563">
        <f t="shared" si="16"/>
        <v>14.333333333333334</v>
      </c>
      <c r="P210" s="564">
        <f t="shared" ca="1" si="17"/>
        <v>206</v>
      </c>
      <c r="Q210" s="552">
        <f t="shared" ca="1" si="18"/>
        <v>-2092.666666666667</v>
      </c>
      <c r="R210" s="563">
        <f t="shared" ca="1" si="19"/>
        <v>1</v>
      </c>
      <c r="S210" s="565" t="s">
        <v>320</v>
      </c>
    </row>
    <row r="211" spans="2:19" ht="39.950000000000003" customHeight="1" x14ac:dyDescent="0.25">
      <c r="B211" s="859">
        <v>39673</v>
      </c>
      <c r="C211" s="558" t="s">
        <v>2349</v>
      </c>
      <c r="D211" s="558"/>
      <c r="E211" s="565" t="s">
        <v>316</v>
      </c>
      <c r="F211" s="548" t="s">
        <v>317</v>
      </c>
      <c r="G211" s="559" t="s">
        <v>311</v>
      </c>
      <c r="H211" s="548" t="s">
        <v>28</v>
      </c>
      <c r="I211" s="548" t="s">
        <v>318</v>
      </c>
      <c r="J211" s="548" t="s">
        <v>319</v>
      </c>
      <c r="K211" s="560">
        <v>468</v>
      </c>
      <c r="L211" s="561">
        <v>36.1</v>
      </c>
      <c r="M211" s="552">
        <f t="shared" si="15"/>
        <v>12.963988919667589</v>
      </c>
      <c r="N211" s="562">
        <v>60</v>
      </c>
      <c r="O211" s="563">
        <f t="shared" si="16"/>
        <v>7.8</v>
      </c>
      <c r="P211" s="564">
        <f t="shared" ca="1" si="17"/>
        <v>206</v>
      </c>
      <c r="Q211" s="552">
        <f t="shared" ca="1" si="18"/>
        <v>-1138.8</v>
      </c>
      <c r="R211" s="563">
        <f t="shared" ca="1" si="19"/>
        <v>1</v>
      </c>
      <c r="S211" s="565" t="s">
        <v>320</v>
      </c>
    </row>
    <row r="212" spans="2:19" ht="39.950000000000003" customHeight="1" x14ac:dyDescent="0.25">
      <c r="B212" s="859">
        <v>39673</v>
      </c>
      <c r="C212" s="558" t="s">
        <v>2349</v>
      </c>
      <c r="D212" s="558"/>
      <c r="E212" s="565" t="s">
        <v>316</v>
      </c>
      <c r="F212" s="548" t="s">
        <v>321</v>
      </c>
      <c r="G212" s="559" t="s">
        <v>311</v>
      </c>
      <c r="H212" s="548" t="s">
        <v>28</v>
      </c>
      <c r="I212" s="548" t="s">
        <v>318</v>
      </c>
      <c r="J212" s="548" t="s">
        <v>319</v>
      </c>
      <c r="K212" s="560">
        <v>468</v>
      </c>
      <c r="L212" s="561">
        <v>36.1</v>
      </c>
      <c r="M212" s="552">
        <f t="shared" si="15"/>
        <v>12.963988919667589</v>
      </c>
      <c r="N212" s="562">
        <v>60</v>
      </c>
      <c r="O212" s="563">
        <f t="shared" si="16"/>
        <v>7.8</v>
      </c>
      <c r="P212" s="564">
        <f t="shared" ca="1" si="17"/>
        <v>206</v>
      </c>
      <c r="Q212" s="552">
        <f t="shared" ca="1" si="18"/>
        <v>-1138.8</v>
      </c>
      <c r="R212" s="563">
        <f t="shared" ca="1" si="19"/>
        <v>1</v>
      </c>
      <c r="S212" s="565" t="s">
        <v>320</v>
      </c>
    </row>
    <row r="213" spans="2:19" ht="54.75" customHeight="1" x14ac:dyDescent="0.25">
      <c r="B213" s="859">
        <v>39779</v>
      </c>
      <c r="C213" s="558" t="s">
        <v>2349</v>
      </c>
      <c r="D213" s="558"/>
      <c r="E213" s="567" t="s">
        <v>363</v>
      </c>
      <c r="F213" s="548" t="s">
        <v>364</v>
      </c>
      <c r="G213" s="559" t="s">
        <v>365</v>
      </c>
      <c r="H213" s="548" t="s">
        <v>366</v>
      </c>
      <c r="I213" s="548" t="s">
        <v>23</v>
      </c>
      <c r="J213" s="548" t="s">
        <v>367</v>
      </c>
      <c r="K213" s="560">
        <v>626260</v>
      </c>
      <c r="L213" s="561">
        <v>34.200000000000003</v>
      </c>
      <c r="M213" s="552">
        <f t="shared" si="15"/>
        <v>18311.695906432746</v>
      </c>
      <c r="N213" s="562">
        <v>60</v>
      </c>
      <c r="O213" s="563">
        <f t="shared" si="16"/>
        <v>10437.666666666666</v>
      </c>
      <c r="P213" s="564">
        <f t="shared" ca="1" si="17"/>
        <v>202</v>
      </c>
      <c r="Q213" s="552">
        <f t="shared" ca="1" si="18"/>
        <v>-1482148.6666666665</v>
      </c>
      <c r="R213" s="563">
        <f t="shared" ca="1" si="19"/>
        <v>1</v>
      </c>
      <c r="S213" s="565" t="s">
        <v>368</v>
      </c>
    </row>
    <row r="214" spans="2:19" ht="39.950000000000003" customHeight="1" x14ac:dyDescent="0.25">
      <c r="B214" s="859">
        <v>39861</v>
      </c>
      <c r="C214" s="558" t="s">
        <v>2349</v>
      </c>
      <c r="D214" s="558"/>
      <c r="E214" s="565" t="s">
        <v>370</v>
      </c>
      <c r="F214" s="548" t="s">
        <v>371</v>
      </c>
      <c r="G214" s="559" t="s">
        <v>372</v>
      </c>
      <c r="H214" s="548" t="s">
        <v>28</v>
      </c>
      <c r="I214" s="548" t="s">
        <v>23</v>
      </c>
      <c r="J214" s="548" t="s">
        <v>373</v>
      </c>
      <c r="K214" s="560">
        <v>3308</v>
      </c>
      <c r="L214" s="561">
        <v>35.65</v>
      </c>
      <c r="M214" s="552">
        <f t="shared" si="15"/>
        <v>92.791023842917255</v>
      </c>
      <c r="N214" s="562">
        <v>60</v>
      </c>
      <c r="O214" s="563">
        <f t="shared" si="16"/>
        <v>55.133333333333333</v>
      </c>
      <c r="P214" s="564">
        <f t="shared" ca="1" si="17"/>
        <v>200</v>
      </c>
      <c r="Q214" s="552">
        <f t="shared" ca="1" si="18"/>
        <v>-7718.6666666666661</v>
      </c>
      <c r="R214" s="563">
        <f t="shared" ca="1" si="19"/>
        <v>1</v>
      </c>
      <c r="S214" s="565" t="s">
        <v>30</v>
      </c>
    </row>
    <row r="215" spans="2:19" ht="39.950000000000003" customHeight="1" x14ac:dyDescent="0.25">
      <c r="B215" s="859">
        <v>39861</v>
      </c>
      <c r="C215" s="558" t="s">
        <v>2349</v>
      </c>
      <c r="D215" s="558"/>
      <c r="E215" s="565" t="s">
        <v>370</v>
      </c>
      <c r="F215" s="548" t="s">
        <v>374</v>
      </c>
      <c r="G215" s="559" t="s">
        <v>372</v>
      </c>
      <c r="H215" s="548" t="s">
        <v>28</v>
      </c>
      <c r="I215" s="548" t="s">
        <v>23</v>
      </c>
      <c r="J215" s="548" t="s">
        <v>373</v>
      </c>
      <c r="K215" s="560">
        <v>3308</v>
      </c>
      <c r="L215" s="561">
        <v>35.65</v>
      </c>
      <c r="M215" s="552">
        <f t="shared" si="15"/>
        <v>92.791023842917255</v>
      </c>
      <c r="N215" s="562">
        <v>60</v>
      </c>
      <c r="O215" s="563">
        <f t="shared" si="16"/>
        <v>55.133333333333333</v>
      </c>
      <c r="P215" s="564">
        <f t="shared" ca="1" si="17"/>
        <v>200</v>
      </c>
      <c r="Q215" s="552">
        <f t="shared" ca="1" si="18"/>
        <v>-7718.6666666666661</v>
      </c>
      <c r="R215" s="563">
        <f t="shared" ca="1" si="19"/>
        <v>1</v>
      </c>
      <c r="S215" s="565" t="s">
        <v>30</v>
      </c>
    </row>
    <row r="216" spans="2:19" ht="39.950000000000003" customHeight="1" x14ac:dyDescent="0.25">
      <c r="B216" s="859">
        <v>39861</v>
      </c>
      <c r="C216" s="558" t="s">
        <v>2349</v>
      </c>
      <c r="D216" s="558"/>
      <c r="E216" s="565" t="s">
        <v>370</v>
      </c>
      <c r="F216" s="548" t="s">
        <v>375</v>
      </c>
      <c r="G216" s="559" t="s">
        <v>372</v>
      </c>
      <c r="H216" s="548" t="s">
        <v>28</v>
      </c>
      <c r="I216" s="548" t="s">
        <v>23</v>
      </c>
      <c r="J216" s="548" t="s">
        <v>373</v>
      </c>
      <c r="K216" s="560">
        <v>3308</v>
      </c>
      <c r="L216" s="561">
        <v>35.65</v>
      </c>
      <c r="M216" s="552">
        <f t="shared" si="15"/>
        <v>92.791023842917255</v>
      </c>
      <c r="N216" s="562">
        <v>60</v>
      </c>
      <c r="O216" s="563">
        <f t="shared" si="16"/>
        <v>55.133333333333333</v>
      </c>
      <c r="P216" s="564">
        <f t="shared" ca="1" si="17"/>
        <v>200</v>
      </c>
      <c r="Q216" s="552">
        <f t="shared" ca="1" si="18"/>
        <v>-7718.6666666666661</v>
      </c>
      <c r="R216" s="563">
        <f t="shared" ca="1" si="19"/>
        <v>1</v>
      </c>
      <c r="S216" s="565" t="s">
        <v>30</v>
      </c>
    </row>
    <row r="217" spans="2:19" ht="39.950000000000003" customHeight="1" x14ac:dyDescent="0.25">
      <c r="B217" s="859">
        <v>39861</v>
      </c>
      <c r="C217" s="558" t="s">
        <v>2349</v>
      </c>
      <c r="D217" s="558"/>
      <c r="E217" s="565" t="s">
        <v>370</v>
      </c>
      <c r="F217" s="548" t="s">
        <v>376</v>
      </c>
      <c r="G217" s="559" t="s">
        <v>372</v>
      </c>
      <c r="H217" s="548" t="s">
        <v>28</v>
      </c>
      <c r="I217" s="548" t="s">
        <v>23</v>
      </c>
      <c r="J217" s="548" t="s">
        <v>373</v>
      </c>
      <c r="K217" s="560">
        <v>3308</v>
      </c>
      <c r="L217" s="561">
        <v>35.65</v>
      </c>
      <c r="M217" s="552">
        <f t="shared" si="15"/>
        <v>92.791023842917255</v>
      </c>
      <c r="N217" s="562">
        <v>60</v>
      </c>
      <c r="O217" s="563">
        <f t="shared" si="16"/>
        <v>55.133333333333333</v>
      </c>
      <c r="P217" s="564">
        <f t="shared" ca="1" si="17"/>
        <v>200</v>
      </c>
      <c r="Q217" s="552">
        <f t="shared" ca="1" si="18"/>
        <v>-7718.6666666666661</v>
      </c>
      <c r="R217" s="563">
        <f t="shared" ca="1" si="19"/>
        <v>1</v>
      </c>
      <c r="S217" s="565" t="s">
        <v>30</v>
      </c>
    </row>
    <row r="218" spans="2:19" ht="39.950000000000003" customHeight="1" x14ac:dyDescent="0.25">
      <c r="B218" s="859">
        <v>39861</v>
      </c>
      <c r="C218" s="558" t="s">
        <v>2349</v>
      </c>
      <c r="D218" s="558"/>
      <c r="E218" s="565" t="s">
        <v>370</v>
      </c>
      <c r="F218" s="548" t="s">
        <v>377</v>
      </c>
      <c r="G218" s="559" t="s">
        <v>372</v>
      </c>
      <c r="H218" s="548" t="s">
        <v>28</v>
      </c>
      <c r="I218" s="548" t="s">
        <v>23</v>
      </c>
      <c r="J218" s="548" t="s">
        <v>373</v>
      </c>
      <c r="K218" s="560">
        <v>3308</v>
      </c>
      <c r="L218" s="561">
        <v>35.65</v>
      </c>
      <c r="M218" s="552">
        <f t="shared" si="15"/>
        <v>92.791023842917255</v>
      </c>
      <c r="N218" s="562">
        <v>60</v>
      </c>
      <c r="O218" s="563">
        <f t="shared" si="16"/>
        <v>55.133333333333333</v>
      </c>
      <c r="P218" s="564">
        <f t="shared" ca="1" si="17"/>
        <v>200</v>
      </c>
      <c r="Q218" s="552">
        <f t="shared" ca="1" si="18"/>
        <v>-7718.6666666666661</v>
      </c>
      <c r="R218" s="563">
        <f t="shared" ca="1" si="19"/>
        <v>1</v>
      </c>
      <c r="S218" s="565" t="s">
        <v>30</v>
      </c>
    </row>
    <row r="219" spans="2:19" ht="39.950000000000003" customHeight="1" x14ac:dyDescent="0.25">
      <c r="B219" s="859">
        <v>39861</v>
      </c>
      <c r="C219" s="558" t="s">
        <v>2349</v>
      </c>
      <c r="D219" s="558"/>
      <c r="E219" s="565" t="s">
        <v>370</v>
      </c>
      <c r="F219" s="548" t="s">
        <v>378</v>
      </c>
      <c r="G219" s="559" t="s">
        <v>372</v>
      </c>
      <c r="H219" s="548" t="s">
        <v>28</v>
      </c>
      <c r="I219" s="548" t="s">
        <v>23</v>
      </c>
      <c r="J219" s="548" t="s">
        <v>373</v>
      </c>
      <c r="K219" s="560">
        <v>3308</v>
      </c>
      <c r="L219" s="561">
        <v>35.65</v>
      </c>
      <c r="M219" s="552">
        <f t="shared" si="15"/>
        <v>92.791023842917255</v>
      </c>
      <c r="N219" s="562">
        <v>60</v>
      </c>
      <c r="O219" s="563">
        <f t="shared" si="16"/>
        <v>55.133333333333333</v>
      </c>
      <c r="P219" s="564">
        <f t="shared" ca="1" si="17"/>
        <v>200</v>
      </c>
      <c r="Q219" s="552">
        <f t="shared" ca="1" si="18"/>
        <v>-7718.6666666666661</v>
      </c>
      <c r="R219" s="563">
        <f t="shared" ca="1" si="19"/>
        <v>1</v>
      </c>
      <c r="S219" s="565" t="s">
        <v>30</v>
      </c>
    </row>
    <row r="220" spans="2:19" ht="39.950000000000003" customHeight="1" x14ac:dyDescent="0.25">
      <c r="B220" s="859">
        <v>39862</v>
      </c>
      <c r="C220" s="558" t="s">
        <v>2349</v>
      </c>
      <c r="D220" s="558"/>
      <c r="E220" s="565" t="s">
        <v>379</v>
      </c>
      <c r="F220" s="548" t="s">
        <v>385</v>
      </c>
      <c r="G220" s="559" t="s">
        <v>288</v>
      </c>
      <c r="H220" s="548" t="s">
        <v>28</v>
      </c>
      <c r="I220" s="548" t="s">
        <v>23</v>
      </c>
      <c r="J220" s="548" t="s">
        <v>194</v>
      </c>
      <c r="K220" s="560">
        <v>15850</v>
      </c>
      <c r="L220" s="561">
        <v>35.65</v>
      </c>
      <c r="M220" s="552">
        <f t="shared" si="15"/>
        <v>444.60028050490888</v>
      </c>
      <c r="N220" s="562">
        <v>60</v>
      </c>
      <c r="O220" s="563">
        <f t="shared" si="16"/>
        <v>264.16666666666669</v>
      </c>
      <c r="P220" s="564">
        <f t="shared" ca="1" si="17"/>
        <v>200</v>
      </c>
      <c r="Q220" s="552">
        <f t="shared" ca="1" si="18"/>
        <v>-36983.333333333336</v>
      </c>
      <c r="R220" s="563">
        <f t="shared" ca="1" si="19"/>
        <v>1</v>
      </c>
      <c r="S220" s="565" t="s">
        <v>382</v>
      </c>
    </row>
    <row r="221" spans="2:19" ht="39.950000000000003" customHeight="1" x14ac:dyDescent="0.25">
      <c r="B221" s="859">
        <v>39862</v>
      </c>
      <c r="C221" s="558" t="s">
        <v>2349</v>
      </c>
      <c r="D221" s="558"/>
      <c r="E221" s="565" t="s">
        <v>379</v>
      </c>
      <c r="F221" s="548" t="s">
        <v>386</v>
      </c>
      <c r="G221" s="559" t="s">
        <v>288</v>
      </c>
      <c r="H221" s="548" t="s">
        <v>28</v>
      </c>
      <c r="I221" s="548" t="s">
        <v>23</v>
      </c>
      <c r="J221" s="548" t="s">
        <v>194</v>
      </c>
      <c r="K221" s="560">
        <v>15850</v>
      </c>
      <c r="L221" s="561">
        <v>35.65</v>
      </c>
      <c r="M221" s="552">
        <f t="shared" si="15"/>
        <v>444.60028050490888</v>
      </c>
      <c r="N221" s="562">
        <v>60</v>
      </c>
      <c r="O221" s="563">
        <f t="shared" si="16"/>
        <v>264.16666666666669</v>
      </c>
      <c r="P221" s="564">
        <f t="shared" ca="1" si="17"/>
        <v>200</v>
      </c>
      <c r="Q221" s="552">
        <f t="shared" ca="1" si="18"/>
        <v>-36983.333333333336</v>
      </c>
      <c r="R221" s="563">
        <f t="shared" ca="1" si="19"/>
        <v>1</v>
      </c>
      <c r="S221" s="565" t="s">
        <v>382</v>
      </c>
    </row>
    <row r="222" spans="2:19" ht="39.950000000000003" customHeight="1" x14ac:dyDescent="0.25">
      <c r="B222" s="859">
        <v>39862</v>
      </c>
      <c r="C222" s="558" t="s">
        <v>2349</v>
      </c>
      <c r="D222" s="558"/>
      <c r="E222" s="565" t="s">
        <v>379</v>
      </c>
      <c r="F222" s="548" t="s">
        <v>380</v>
      </c>
      <c r="G222" s="559" t="s">
        <v>381</v>
      </c>
      <c r="H222" s="548" t="s">
        <v>28</v>
      </c>
      <c r="I222" s="548" t="s">
        <v>23</v>
      </c>
      <c r="J222" s="548" t="s">
        <v>194</v>
      </c>
      <c r="K222" s="560">
        <v>10828.33</v>
      </c>
      <c r="L222" s="561">
        <v>35.65</v>
      </c>
      <c r="M222" s="552">
        <f t="shared" si="15"/>
        <v>303.73997194950914</v>
      </c>
      <c r="N222" s="562">
        <v>60</v>
      </c>
      <c r="O222" s="563">
        <f t="shared" si="16"/>
        <v>180.47216666666665</v>
      </c>
      <c r="P222" s="564">
        <f t="shared" ca="1" si="17"/>
        <v>200</v>
      </c>
      <c r="Q222" s="552">
        <f t="shared" ca="1" si="18"/>
        <v>-25266.103333333325</v>
      </c>
      <c r="R222" s="563">
        <f t="shared" ca="1" si="19"/>
        <v>1</v>
      </c>
      <c r="S222" s="565" t="s">
        <v>382</v>
      </c>
    </row>
    <row r="223" spans="2:19" ht="39.950000000000003" customHeight="1" x14ac:dyDescent="0.25">
      <c r="B223" s="859">
        <v>39862</v>
      </c>
      <c r="C223" s="558" t="s">
        <v>2349</v>
      </c>
      <c r="D223" s="558"/>
      <c r="E223" s="565" t="s">
        <v>379</v>
      </c>
      <c r="F223" s="548" t="s">
        <v>383</v>
      </c>
      <c r="G223" s="559" t="s">
        <v>381</v>
      </c>
      <c r="H223" s="548" t="s">
        <v>28</v>
      </c>
      <c r="I223" s="548" t="s">
        <v>23</v>
      </c>
      <c r="J223" s="548" t="s">
        <v>194</v>
      </c>
      <c r="K223" s="560">
        <v>10828.33</v>
      </c>
      <c r="L223" s="561">
        <v>35.65</v>
      </c>
      <c r="M223" s="552">
        <f t="shared" si="15"/>
        <v>303.73997194950914</v>
      </c>
      <c r="N223" s="562">
        <v>60</v>
      </c>
      <c r="O223" s="563">
        <f t="shared" si="16"/>
        <v>180.47216666666665</v>
      </c>
      <c r="P223" s="564">
        <f t="shared" ca="1" si="17"/>
        <v>200</v>
      </c>
      <c r="Q223" s="552">
        <f t="shared" ca="1" si="18"/>
        <v>-25266.103333333325</v>
      </c>
      <c r="R223" s="563">
        <f t="shared" ca="1" si="19"/>
        <v>1</v>
      </c>
      <c r="S223" s="565" t="s">
        <v>382</v>
      </c>
    </row>
    <row r="224" spans="2:19" ht="39.950000000000003" customHeight="1" x14ac:dyDescent="0.25">
      <c r="B224" s="859">
        <v>39862</v>
      </c>
      <c r="C224" s="558" t="s">
        <v>2349</v>
      </c>
      <c r="D224" s="558"/>
      <c r="E224" s="565" t="s">
        <v>379</v>
      </c>
      <c r="F224" s="548" t="s">
        <v>384</v>
      </c>
      <c r="G224" s="559" t="s">
        <v>381</v>
      </c>
      <c r="H224" s="548" t="s">
        <v>28</v>
      </c>
      <c r="I224" s="548" t="s">
        <v>23</v>
      </c>
      <c r="J224" s="548" t="s">
        <v>194</v>
      </c>
      <c r="K224" s="560">
        <v>10828.33</v>
      </c>
      <c r="L224" s="561">
        <v>35.65</v>
      </c>
      <c r="M224" s="552">
        <f t="shared" si="15"/>
        <v>303.73997194950914</v>
      </c>
      <c r="N224" s="562">
        <v>60</v>
      </c>
      <c r="O224" s="563">
        <f t="shared" si="16"/>
        <v>180.47216666666665</v>
      </c>
      <c r="P224" s="564">
        <f t="shared" ca="1" si="17"/>
        <v>200</v>
      </c>
      <c r="Q224" s="552">
        <f t="shared" ca="1" si="18"/>
        <v>-25266.103333333325</v>
      </c>
      <c r="R224" s="563">
        <f t="shared" ca="1" si="19"/>
        <v>1</v>
      </c>
      <c r="S224" s="565" t="s">
        <v>382</v>
      </c>
    </row>
    <row r="225" spans="2:19" ht="39.950000000000003" customHeight="1" x14ac:dyDescent="0.25">
      <c r="B225" s="859">
        <v>39877</v>
      </c>
      <c r="C225" s="558" t="s">
        <v>2349</v>
      </c>
      <c r="D225" s="558"/>
      <c r="E225" s="565" t="s">
        <v>387</v>
      </c>
      <c r="F225" s="548" t="s">
        <v>388</v>
      </c>
      <c r="G225" s="559" t="s">
        <v>389</v>
      </c>
      <c r="H225" s="548" t="s">
        <v>28</v>
      </c>
      <c r="I225" s="548" t="s">
        <v>23</v>
      </c>
      <c r="J225" s="548" t="s">
        <v>373</v>
      </c>
      <c r="K225" s="560">
        <v>62198.639999999992</v>
      </c>
      <c r="L225" s="568">
        <v>35.770000000000003</v>
      </c>
      <c r="M225" s="552">
        <f t="shared" si="15"/>
        <v>1738.8493150684928</v>
      </c>
      <c r="N225" s="562">
        <v>60</v>
      </c>
      <c r="O225" s="563">
        <f t="shared" si="16"/>
        <v>1036.6439999999998</v>
      </c>
      <c r="P225" s="564">
        <f t="shared" ca="1" si="17"/>
        <v>199</v>
      </c>
      <c r="Q225" s="552">
        <f t="shared" ca="1" si="18"/>
        <v>-144093.51599999997</v>
      </c>
      <c r="R225" s="563">
        <f t="shared" ca="1" si="19"/>
        <v>1</v>
      </c>
      <c r="S225" s="565" t="s">
        <v>390</v>
      </c>
    </row>
    <row r="226" spans="2:19" ht="52.5" customHeight="1" x14ac:dyDescent="0.25">
      <c r="B226" s="859">
        <v>39902</v>
      </c>
      <c r="C226" s="558" t="s">
        <v>2349</v>
      </c>
      <c r="D226" s="558"/>
      <c r="E226" s="565" t="s">
        <v>399</v>
      </c>
      <c r="F226" s="548" t="s">
        <v>422</v>
      </c>
      <c r="G226" s="559" t="s">
        <v>423</v>
      </c>
      <c r="H226" s="548" t="s">
        <v>28</v>
      </c>
      <c r="I226" s="548" t="s">
        <v>394</v>
      </c>
      <c r="J226" s="548" t="s">
        <v>395</v>
      </c>
      <c r="K226" s="560">
        <v>2975</v>
      </c>
      <c r="L226" s="568">
        <v>35.770000000000003</v>
      </c>
      <c r="M226" s="552">
        <f t="shared" si="15"/>
        <v>83.170254403131111</v>
      </c>
      <c r="N226" s="562">
        <v>60</v>
      </c>
      <c r="O226" s="563">
        <f t="shared" si="16"/>
        <v>49.583333333333336</v>
      </c>
      <c r="P226" s="564">
        <f t="shared" ca="1" si="17"/>
        <v>198</v>
      </c>
      <c r="Q226" s="552">
        <f t="shared" ca="1" si="18"/>
        <v>-6842.5</v>
      </c>
      <c r="R226" s="563">
        <f t="shared" ca="1" si="19"/>
        <v>1</v>
      </c>
      <c r="S226" s="565" t="s">
        <v>402</v>
      </c>
    </row>
    <row r="227" spans="2:19" ht="39.950000000000003" customHeight="1" x14ac:dyDescent="0.25">
      <c r="B227" s="859">
        <v>39902</v>
      </c>
      <c r="C227" s="558" t="s">
        <v>2349</v>
      </c>
      <c r="D227" s="558"/>
      <c r="E227" s="565" t="s">
        <v>399</v>
      </c>
      <c r="F227" s="548" t="s">
        <v>408</v>
      </c>
      <c r="G227" s="559" t="s">
        <v>409</v>
      </c>
      <c r="H227" s="548" t="s">
        <v>28</v>
      </c>
      <c r="I227" s="548" t="s">
        <v>394</v>
      </c>
      <c r="J227" s="548" t="s">
        <v>395</v>
      </c>
      <c r="K227" s="560">
        <v>1125</v>
      </c>
      <c r="L227" s="568">
        <v>35.770000000000003</v>
      </c>
      <c r="M227" s="552">
        <f t="shared" si="15"/>
        <v>31.450936538999159</v>
      </c>
      <c r="N227" s="562">
        <v>60</v>
      </c>
      <c r="O227" s="563">
        <f t="shared" si="16"/>
        <v>18.75</v>
      </c>
      <c r="P227" s="564">
        <f t="shared" ca="1" si="17"/>
        <v>198</v>
      </c>
      <c r="Q227" s="552">
        <f t="shared" ca="1" si="18"/>
        <v>-2587.5</v>
      </c>
      <c r="R227" s="563">
        <f t="shared" ca="1" si="19"/>
        <v>1</v>
      </c>
      <c r="S227" s="565" t="s">
        <v>402</v>
      </c>
    </row>
    <row r="228" spans="2:19" ht="39.950000000000003" customHeight="1" x14ac:dyDescent="0.25">
      <c r="B228" s="859">
        <v>39902</v>
      </c>
      <c r="C228" s="558" t="s">
        <v>2349</v>
      </c>
      <c r="D228" s="558"/>
      <c r="E228" s="565" t="s">
        <v>399</v>
      </c>
      <c r="F228" s="548" t="s">
        <v>410</v>
      </c>
      <c r="G228" s="559" t="s">
        <v>409</v>
      </c>
      <c r="H228" s="548" t="s">
        <v>28</v>
      </c>
      <c r="I228" s="548" t="s">
        <v>394</v>
      </c>
      <c r="J228" s="548" t="s">
        <v>395</v>
      </c>
      <c r="K228" s="560">
        <v>1125</v>
      </c>
      <c r="L228" s="568">
        <v>35.770000000000003</v>
      </c>
      <c r="M228" s="552">
        <f t="shared" si="15"/>
        <v>31.450936538999159</v>
      </c>
      <c r="N228" s="562">
        <v>60</v>
      </c>
      <c r="O228" s="563">
        <f t="shared" si="16"/>
        <v>18.75</v>
      </c>
      <c r="P228" s="564">
        <f t="shared" ca="1" si="17"/>
        <v>198</v>
      </c>
      <c r="Q228" s="552">
        <f t="shared" ca="1" si="18"/>
        <v>-2587.5</v>
      </c>
      <c r="R228" s="563">
        <f t="shared" ca="1" si="19"/>
        <v>1</v>
      </c>
      <c r="S228" s="565" t="s">
        <v>402</v>
      </c>
    </row>
    <row r="229" spans="2:19" ht="39.950000000000003" customHeight="1" x14ac:dyDescent="0.25">
      <c r="B229" s="859">
        <v>39902</v>
      </c>
      <c r="C229" s="558" t="s">
        <v>2349</v>
      </c>
      <c r="D229" s="558"/>
      <c r="E229" s="565" t="s">
        <v>399</v>
      </c>
      <c r="F229" s="548" t="s">
        <v>411</v>
      </c>
      <c r="G229" s="559" t="s">
        <v>409</v>
      </c>
      <c r="H229" s="548" t="s">
        <v>28</v>
      </c>
      <c r="I229" s="548" t="s">
        <v>394</v>
      </c>
      <c r="J229" s="548" t="s">
        <v>395</v>
      </c>
      <c r="K229" s="560">
        <v>1125</v>
      </c>
      <c r="L229" s="568">
        <v>35.770000000000003</v>
      </c>
      <c r="M229" s="552">
        <f t="shared" si="15"/>
        <v>31.450936538999159</v>
      </c>
      <c r="N229" s="562">
        <v>60</v>
      </c>
      <c r="O229" s="563">
        <f t="shared" si="16"/>
        <v>18.75</v>
      </c>
      <c r="P229" s="564">
        <f t="shared" ca="1" si="17"/>
        <v>198</v>
      </c>
      <c r="Q229" s="552">
        <f t="shared" ca="1" si="18"/>
        <v>-2587.5</v>
      </c>
      <c r="R229" s="563">
        <f t="shared" ca="1" si="19"/>
        <v>1</v>
      </c>
      <c r="S229" s="565" t="s">
        <v>402</v>
      </c>
    </row>
    <row r="230" spans="2:19" ht="39.950000000000003" customHeight="1" x14ac:dyDescent="0.25">
      <c r="B230" s="859">
        <v>39902</v>
      </c>
      <c r="C230" s="558" t="s">
        <v>2349</v>
      </c>
      <c r="D230" s="558"/>
      <c r="E230" s="565" t="s">
        <v>399</v>
      </c>
      <c r="F230" s="548" t="s">
        <v>412</v>
      </c>
      <c r="G230" s="559" t="s">
        <v>409</v>
      </c>
      <c r="H230" s="548" t="s">
        <v>28</v>
      </c>
      <c r="I230" s="548" t="s">
        <v>394</v>
      </c>
      <c r="J230" s="548" t="s">
        <v>395</v>
      </c>
      <c r="K230" s="560">
        <v>1125</v>
      </c>
      <c r="L230" s="568">
        <v>35.770000000000003</v>
      </c>
      <c r="M230" s="552">
        <f t="shared" si="15"/>
        <v>31.450936538999159</v>
      </c>
      <c r="N230" s="562">
        <v>60</v>
      </c>
      <c r="O230" s="563">
        <f t="shared" si="16"/>
        <v>18.75</v>
      </c>
      <c r="P230" s="564">
        <f t="shared" ca="1" si="17"/>
        <v>198</v>
      </c>
      <c r="Q230" s="552">
        <f t="shared" ca="1" si="18"/>
        <v>-2587.5</v>
      </c>
      <c r="R230" s="563">
        <f t="shared" ca="1" si="19"/>
        <v>1</v>
      </c>
      <c r="S230" s="565" t="s">
        <v>402</v>
      </c>
    </row>
    <row r="231" spans="2:19" ht="39.950000000000003" customHeight="1" x14ac:dyDescent="0.25">
      <c r="B231" s="859">
        <v>39902</v>
      </c>
      <c r="C231" s="558" t="s">
        <v>2349</v>
      </c>
      <c r="D231" s="558"/>
      <c r="E231" s="565" t="s">
        <v>399</v>
      </c>
      <c r="F231" s="548" t="s">
        <v>413</v>
      </c>
      <c r="G231" s="559" t="s">
        <v>409</v>
      </c>
      <c r="H231" s="548" t="s">
        <v>28</v>
      </c>
      <c r="I231" s="548" t="s">
        <v>394</v>
      </c>
      <c r="J231" s="548" t="s">
        <v>395</v>
      </c>
      <c r="K231" s="560">
        <v>1125</v>
      </c>
      <c r="L231" s="568">
        <v>35.770000000000003</v>
      </c>
      <c r="M231" s="552">
        <f t="shared" si="15"/>
        <v>31.450936538999159</v>
      </c>
      <c r="N231" s="562">
        <v>60</v>
      </c>
      <c r="O231" s="563">
        <f t="shared" si="16"/>
        <v>18.75</v>
      </c>
      <c r="P231" s="564">
        <f t="shared" ca="1" si="17"/>
        <v>198</v>
      </c>
      <c r="Q231" s="552">
        <f t="shared" ca="1" si="18"/>
        <v>-2587.5</v>
      </c>
      <c r="R231" s="563">
        <f t="shared" ca="1" si="19"/>
        <v>1</v>
      </c>
      <c r="S231" s="565" t="s">
        <v>402</v>
      </c>
    </row>
    <row r="232" spans="2:19" ht="39.950000000000003" customHeight="1" x14ac:dyDescent="0.25">
      <c r="B232" s="859">
        <v>39902</v>
      </c>
      <c r="C232" s="558" t="s">
        <v>2349</v>
      </c>
      <c r="D232" s="558"/>
      <c r="E232" s="565" t="s">
        <v>399</v>
      </c>
      <c r="F232" s="548" t="s">
        <v>414</v>
      </c>
      <c r="G232" s="559" t="s">
        <v>409</v>
      </c>
      <c r="H232" s="548" t="s">
        <v>28</v>
      </c>
      <c r="I232" s="548" t="s">
        <v>394</v>
      </c>
      <c r="J232" s="548" t="s">
        <v>395</v>
      </c>
      <c r="K232" s="560">
        <v>1125</v>
      </c>
      <c r="L232" s="568">
        <v>35.770000000000003</v>
      </c>
      <c r="M232" s="552">
        <f t="shared" si="15"/>
        <v>31.450936538999159</v>
      </c>
      <c r="N232" s="562">
        <v>60</v>
      </c>
      <c r="O232" s="563">
        <f t="shared" si="16"/>
        <v>18.75</v>
      </c>
      <c r="P232" s="564">
        <f t="shared" ca="1" si="17"/>
        <v>198</v>
      </c>
      <c r="Q232" s="552">
        <f t="shared" ca="1" si="18"/>
        <v>-2587.5</v>
      </c>
      <c r="R232" s="563">
        <f t="shared" ca="1" si="19"/>
        <v>1</v>
      </c>
      <c r="S232" s="565" t="s">
        <v>402</v>
      </c>
    </row>
    <row r="233" spans="2:19" ht="39.950000000000003" customHeight="1" x14ac:dyDescent="0.25">
      <c r="B233" s="859">
        <v>39902</v>
      </c>
      <c r="C233" s="558" t="s">
        <v>2349</v>
      </c>
      <c r="D233" s="558"/>
      <c r="E233" s="565" t="s">
        <v>399</v>
      </c>
      <c r="F233" s="548" t="s">
        <v>415</v>
      </c>
      <c r="G233" s="559" t="s">
        <v>409</v>
      </c>
      <c r="H233" s="548" t="s">
        <v>28</v>
      </c>
      <c r="I233" s="548" t="s">
        <v>394</v>
      </c>
      <c r="J233" s="548" t="s">
        <v>395</v>
      </c>
      <c r="K233" s="560">
        <v>1125</v>
      </c>
      <c r="L233" s="568">
        <v>35.770000000000003</v>
      </c>
      <c r="M233" s="552">
        <f t="shared" si="15"/>
        <v>31.450936538999159</v>
      </c>
      <c r="N233" s="562">
        <v>60</v>
      </c>
      <c r="O233" s="563">
        <f t="shared" si="16"/>
        <v>18.75</v>
      </c>
      <c r="P233" s="564">
        <f t="shared" ca="1" si="17"/>
        <v>198</v>
      </c>
      <c r="Q233" s="552">
        <f t="shared" ca="1" si="18"/>
        <v>-2587.5</v>
      </c>
      <c r="R233" s="563">
        <f t="shared" ca="1" si="19"/>
        <v>1</v>
      </c>
      <c r="S233" s="565" t="s">
        <v>402</v>
      </c>
    </row>
    <row r="234" spans="2:19" ht="39.950000000000003" customHeight="1" x14ac:dyDescent="0.25">
      <c r="B234" s="859">
        <v>39902</v>
      </c>
      <c r="C234" s="558" t="s">
        <v>2349</v>
      </c>
      <c r="D234" s="558"/>
      <c r="E234" s="565" t="s">
        <v>399</v>
      </c>
      <c r="F234" s="548" t="s">
        <v>416</v>
      </c>
      <c r="G234" s="559" t="s">
        <v>409</v>
      </c>
      <c r="H234" s="548" t="s">
        <v>28</v>
      </c>
      <c r="I234" s="548" t="s">
        <v>394</v>
      </c>
      <c r="J234" s="548" t="s">
        <v>395</v>
      </c>
      <c r="K234" s="560">
        <v>1125</v>
      </c>
      <c r="L234" s="568">
        <v>35.770000000000003</v>
      </c>
      <c r="M234" s="552">
        <f t="shared" si="15"/>
        <v>31.450936538999159</v>
      </c>
      <c r="N234" s="562">
        <v>60</v>
      </c>
      <c r="O234" s="563">
        <f t="shared" si="16"/>
        <v>18.75</v>
      </c>
      <c r="P234" s="564">
        <f t="shared" ca="1" si="17"/>
        <v>198</v>
      </c>
      <c r="Q234" s="552">
        <f t="shared" ca="1" si="18"/>
        <v>-2587.5</v>
      </c>
      <c r="R234" s="563">
        <f t="shared" ca="1" si="19"/>
        <v>1</v>
      </c>
      <c r="S234" s="565" t="s">
        <v>402</v>
      </c>
    </row>
    <row r="235" spans="2:19" ht="39.950000000000003" customHeight="1" x14ac:dyDescent="0.25">
      <c r="B235" s="859">
        <v>39902</v>
      </c>
      <c r="C235" s="558" t="s">
        <v>2349</v>
      </c>
      <c r="D235" s="558"/>
      <c r="E235" s="565" t="s">
        <v>399</v>
      </c>
      <c r="F235" s="548" t="s">
        <v>417</v>
      </c>
      <c r="G235" s="559" t="s">
        <v>409</v>
      </c>
      <c r="H235" s="548" t="s">
        <v>28</v>
      </c>
      <c r="I235" s="548" t="s">
        <v>394</v>
      </c>
      <c r="J235" s="548" t="s">
        <v>395</v>
      </c>
      <c r="K235" s="560">
        <v>1125</v>
      </c>
      <c r="L235" s="568">
        <v>35.770000000000003</v>
      </c>
      <c r="M235" s="552">
        <f t="shared" si="15"/>
        <v>31.450936538999159</v>
      </c>
      <c r="N235" s="562">
        <v>60</v>
      </c>
      <c r="O235" s="563">
        <f t="shared" si="16"/>
        <v>18.75</v>
      </c>
      <c r="P235" s="564">
        <f t="shared" ca="1" si="17"/>
        <v>198</v>
      </c>
      <c r="Q235" s="552">
        <f t="shared" ca="1" si="18"/>
        <v>-2587.5</v>
      </c>
      <c r="R235" s="563">
        <f t="shared" ca="1" si="19"/>
        <v>1</v>
      </c>
      <c r="S235" s="565" t="s">
        <v>402</v>
      </c>
    </row>
    <row r="236" spans="2:19" ht="39.950000000000003" customHeight="1" x14ac:dyDescent="0.25">
      <c r="B236" s="859">
        <v>39902</v>
      </c>
      <c r="C236" s="558" t="s">
        <v>2349</v>
      </c>
      <c r="D236" s="558"/>
      <c r="E236" s="565" t="s">
        <v>399</v>
      </c>
      <c r="F236" s="548" t="s">
        <v>418</v>
      </c>
      <c r="G236" s="559" t="s">
        <v>409</v>
      </c>
      <c r="H236" s="548" t="s">
        <v>28</v>
      </c>
      <c r="I236" s="548" t="s">
        <v>394</v>
      </c>
      <c r="J236" s="548" t="s">
        <v>395</v>
      </c>
      <c r="K236" s="560">
        <v>1125</v>
      </c>
      <c r="L236" s="568">
        <v>35.770000000000003</v>
      </c>
      <c r="M236" s="552">
        <f t="shared" si="15"/>
        <v>31.450936538999159</v>
      </c>
      <c r="N236" s="562">
        <v>60</v>
      </c>
      <c r="O236" s="563">
        <f t="shared" si="16"/>
        <v>18.75</v>
      </c>
      <c r="P236" s="564">
        <f t="shared" ca="1" si="17"/>
        <v>198</v>
      </c>
      <c r="Q236" s="552">
        <f t="shared" ca="1" si="18"/>
        <v>-2587.5</v>
      </c>
      <c r="R236" s="563">
        <f t="shared" ca="1" si="19"/>
        <v>1</v>
      </c>
      <c r="S236" s="565" t="s">
        <v>402</v>
      </c>
    </row>
    <row r="237" spans="2:19" ht="39.950000000000003" customHeight="1" x14ac:dyDescent="0.25">
      <c r="B237" s="859">
        <v>39902</v>
      </c>
      <c r="C237" s="558" t="s">
        <v>2349</v>
      </c>
      <c r="D237" s="558"/>
      <c r="E237" s="565" t="s">
        <v>399</v>
      </c>
      <c r="F237" s="548" t="s">
        <v>419</v>
      </c>
      <c r="G237" s="559" t="s">
        <v>409</v>
      </c>
      <c r="H237" s="548" t="s">
        <v>28</v>
      </c>
      <c r="I237" s="548" t="s">
        <v>394</v>
      </c>
      <c r="J237" s="548" t="s">
        <v>395</v>
      </c>
      <c r="K237" s="560">
        <v>1125</v>
      </c>
      <c r="L237" s="568">
        <v>35.770000000000003</v>
      </c>
      <c r="M237" s="552">
        <f t="shared" si="15"/>
        <v>31.450936538999159</v>
      </c>
      <c r="N237" s="562">
        <v>60</v>
      </c>
      <c r="O237" s="563">
        <f t="shared" si="16"/>
        <v>18.75</v>
      </c>
      <c r="P237" s="564">
        <f t="shared" ca="1" si="17"/>
        <v>198</v>
      </c>
      <c r="Q237" s="552">
        <f t="shared" ca="1" si="18"/>
        <v>-2587.5</v>
      </c>
      <c r="R237" s="563">
        <f t="shared" ca="1" si="19"/>
        <v>1</v>
      </c>
      <c r="S237" s="565" t="s">
        <v>402</v>
      </c>
    </row>
    <row r="238" spans="2:19" ht="39.950000000000003" customHeight="1" x14ac:dyDescent="0.25">
      <c r="B238" s="859">
        <v>39902</v>
      </c>
      <c r="C238" s="558" t="s">
        <v>2349</v>
      </c>
      <c r="D238" s="558"/>
      <c r="E238" s="565" t="s">
        <v>399</v>
      </c>
      <c r="F238" s="548" t="s">
        <v>420</v>
      </c>
      <c r="G238" s="559" t="s">
        <v>409</v>
      </c>
      <c r="H238" s="548" t="s">
        <v>28</v>
      </c>
      <c r="I238" s="548" t="s">
        <v>394</v>
      </c>
      <c r="J238" s="548" t="s">
        <v>395</v>
      </c>
      <c r="K238" s="560">
        <v>1125</v>
      </c>
      <c r="L238" s="568">
        <v>35.770000000000003</v>
      </c>
      <c r="M238" s="552">
        <f t="shared" si="15"/>
        <v>31.450936538999159</v>
      </c>
      <c r="N238" s="562">
        <v>60</v>
      </c>
      <c r="O238" s="563">
        <f t="shared" si="16"/>
        <v>18.75</v>
      </c>
      <c r="P238" s="564">
        <f t="shared" ca="1" si="17"/>
        <v>198</v>
      </c>
      <c r="Q238" s="552">
        <f t="shared" ca="1" si="18"/>
        <v>-2587.5</v>
      </c>
      <c r="R238" s="563">
        <f t="shared" ca="1" si="19"/>
        <v>1</v>
      </c>
      <c r="S238" s="565" t="s">
        <v>402</v>
      </c>
    </row>
    <row r="239" spans="2:19" ht="39.950000000000003" customHeight="1" x14ac:dyDescent="0.25">
      <c r="B239" s="859">
        <v>39902</v>
      </c>
      <c r="C239" s="558" t="s">
        <v>2349</v>
      </c>
      <c r="D239" s="558"/>
      <c r="E239" s="565" t="s">
        <v>399</v>
      </c>
      <c r="F239" s="548" t="s">
        <v>421</v>
      </c>
      <c r="G239" s="559" t="s">
        <v>409</v>
      </c>
      <c r="H239" s="548" t="s">
        <v>28</v>
      </c>
      <c r="I239" s="548" t="s">
        <v>394</v>
      </c>
      <c r="J239" s="548" t="s">
        <v>395</v>
      </c>
      <c r="K239" s="560">
        <v>1125</v>
      </c>
      <c r="L239" s="568">
        <v>35.770000000000003</v>
      </c>
      <c r="M239" s="552">
        <f t="shared" si="15"/>
        <v>31.450936538999159</v>
      </c>
      <c r="N239" s="562">
        <v>60</v>
      </c>
      <c r="O239" s="563">
        <f t="shared" si="16"/>
        <v>18.75</v>
      </c>
      <c r="P239" s="564">
        <f t="shared" ca="1" si="17"/>
        <v>198</v>
      </c>
      <c r="Q239" s="552">
        <f t="shared" ca="1" si="18"/>
        <v>-2587.5</v>
      </c>
      <c r="R239" s="563">
        <f t="shared" ca="1" si="19"/>
        <v>1</v>
      </c>
      <c r="S239" s="565" t="s">
        <v>402</v>
      </c>
    </row>
    <row r="240" spans="2:19" ht="39.950000000000003" customHeight="1" x14ac:dyDescent="0.25">
      <c r="B240" s="859">
        <v>39902</v>
      </c>
      <c r="C240" s="558" t="s">
        <v>2349</v>
      </c>
      <c r="D240" s="558"/>
      <c r="E240" s="565" t="s">
        <v>391</v>
      </c>
      <c r="F240" s="548" t="s">
        <v>397</v>
      </c>
      <c r="G240" s="559" t="s">
        <v>398</v>
      </c>
      <c r="H240" s="548" t="s">
        <v>28</v>
      </c>
      <c r="I240" s="548" t="s">
        <v>394</v>
      </c>
      <c r="J240" s="548" t="s">
        <v>395</v>
      </c>
      <c r="K240" s="560">
        <v>26305</v>
      </c>
      <c r="L240" s="568">
        <v>35.770000000000003</v>
      </c>
      <c r="M240" s="552">
        <f t="shared" si="15"/>
        <v>735.39278725188694</v>
      </c>
      <c r="N240" s="562">
        <v>60</v>
      </c>
      <c r="O240" s="563">
        <f t="shared" si="16"/>
        <v>438.41666666666669</v>
      </c>
      <c r="P240" s="564">
        <f t="shared" ca="1" si="17"/>
        <v>198</v>
      </c>
      <c r="Q240" s="552">
        <f t="shared" ca="1" si="18"/>
        <v>-60501.5</v>
      </c>
      <c r="R240" s="563">
        <f t="shared" ca="1" si="19"/>
        <v>1</v>
      </c>
      <c r="S240" s="565" t="s">
        <v>396</v>
      </c>
    </row>
    <row r="241" spans="2:19" ht="39.950000000000003" customHeight="1" x14ac:dyDescent="0.25">
      <c r="B241" s="859">
        <v>39902</v>
      </c>
      <c r="C241" s="558" t="s">
        <v>2349</v>
      </c>
      <c r="D241" s="558"/>
      <c r="E241" s="565" t="s">
        <v>424</v>
      </c>
      <c r="F241" s="548" t="s">
        <v>431</v>
      </c>
      <c r="G241" s="559" t="s">
        <v>432</v>
      </c>
      <c r="H241" s="548" t="s">
        <v>28</v>
      </c>
      <c r="I241" s="548" t="s">
        <v>394</v>
      </c>
      <c r="J241" s="548" t="s">
        <v>395</v>
      </c>
      <c r="K241" s="560">
        <v>5472.5</v>
      </c>
      <c r="L241" s="568">
        <v>35.770000000000003</v>
      </c>
      <c r="M241" s="552">
        <f t="shared" si="15"/>
        <v>152.99133351970923</v>
      </c>
      <c r="N241" s="562">
        <v>60</v>
      </c>
      <c r="O241" s="563">
        <f t="shared" si="16"/>
        <v>91.208333333333329</v>
      </c>
      <c r="P241" s="564">
        <f t="shared" ca="1" si="17"/>
        <v>198</v>
      </c>
      <c r="Q241" s="552">
        <f t="shared" ca="1" si="18"/>
        <v>-12586.75</v>
      </c>
      <c r="R241" s="563">
        <f t="shared" ca="1" si="19"/>
        <v>1</v>
      </c>
      <c r="S241" s="565" t="s">
        <v>428</v>
      </c>
    </row>
    <row r="242" spans="2:19" ht="39.950000000000003" customHeight="1" x14ac:dyDescent="0.25">
      <c r="B242" s="859">
        <v>39902</v>
      </c>
      <c r="C242" s="558" t="s">
        <v>2349</v>
      </c>
      <c r="D242" s="558"/>
      <c r="E242" s="565" t="s">
        <v>399</v>
      </c>
      <c r="F242" s="548" t="s">
        <v>406</v>
      </c>
      <c r="G242" s="559" t="s">
        <v>407</v>
      </c>
      <c r="H242" s="548" t="s">
        <v>28</v>
      </c>
      <c r="I242" s="548" t="s">
        <v>4381</v>
      </c>
      <c r="J242" s="548" t="s">
        <v>395</v>
      </c>
      <c r="K242" s="560">
        <v>4850</v>
      </c>
      <c r="L242" s="568">
        <v>35.770000000000003</v>
      </c>
      <c r="M242" s="552">
        <f t="shared" si="15"/>
        <v>135.58848196812971</v>
      </c>
      <c r="N242" s="562">
        <v>60</v>
      </c>
      <c r="O242" s="563">
        <f t="shared" si="16"/>
        <v>80.833333333333329</v>
      </c>
      <c r="P242" s="564">
        <f t="shared" ca="1" si="17"/>
        <v>198</v>
      </c>
      <c r="Q242" s="552">
        <f t="shared" ca="1" si="18"/>
        <v>-11154.999999999998</v>
      </c>
      <c r="R242" s="563">
        <f t="shared" ca="1" si="19"/>
        <v>1</v>
      </c>
      <c r="S242" s="565" t="s">
        <v>402</v>
      </c>
    </row>
    <row r="243" spans="2:19" ht="39.950000000000003" customHeight="1" x14ac:dyDescent="0.25">
      <c r="B243" s="859">
        <v>39902</v>
      </c>
      <c r="C243" s="558" t="s">
        <v>2349</v>
      </c>
      <c r="D243" s="558"/>
      <c r="E243" s="565" t="s">
        <v>399</v>
      </c>
      <c r="F243" s="548" t="s">
        <v>404</v>
      </c>
      <c r="G243" s="559" t="s">
        <v>405</v>
      </c>
      <c r="H243" s="548" t="s">
        <v>28</v>
      </c>
      <c r="I243" s="548" t="s">
        <v>394</v>
      </c>
      <c r="J243" s="548" t="s">
        <v>395</v>
      </c>
      <c r="K243" s="560">
        <v>6500</v>
      </c>
      <c r="L243" s="568">
        <v>35.770000000000003</v>
      </c>
      <c r="M243" s="552">
        <f t="shared" si="15"/>
        <v>181.71652222532848</v>
      </c>
      <c r="N243" s="562">
        <v>60</v>
      </c>
      <c r="O243" s="563">
        <f t="shared" si="16"/>
        <v>108.33333333333333</v>
      </c>
      <c r="P243" s="564">
        <f t="shared" ca="1" si="17"/>
        <v>198</v>
      </c>
      <c r="Q243" s="552">
        <f t="shared" ca="1" si="18"/>
        <v>-14950</v>
      </c>
      <c r="R243" s="563">
        <f t="shared" ca="1" si="19"/>
        <v>1</v>
      </c>
      <c r="S243" s="565" t="s">
        <v>402</v>
      </c>
    </row>
    <row r="244" spans="2:19" ht="39.950000000000003" customHeight="1" x14ac:dyDescent="0.25">
      <c r="B244" s="859">
        <v>39902</v>
      </c>
      <c r="C244" s="558" t="s">
        <v>2349</v>
      </c>
      <c r="D244" s="558"/>
      <c r="E244" s="565" t="s">
        <v>391</v>
      </c>
      <c r="F244" s="548" t="s">
        <v>392</v>
      </c>
      <c r="G244" s="559" t="s">
        <v>393</v>
      </c>
      <c r="H244" s="548" t="s">
        <v>28</v>
      </c>
      <c r="I244" s="548" t="s">
        <v>394</v>
      </c>
      <c r="J244" s="548" t="s">
        <v>395</v>
      </c>
      <c r="K244" s="560">
        <v>1125</v>
      </c>
      <c r="L244" s="568">
        <v>35.770000000000003</v>
      </c>
      <c r="M244" s="552">
        <f t="shared" si="15"/>
        <v>31.450936538999159</v>
      </c>
      <c r="N244" s="562">
        <v>60</v>
      </c>
      <c r="O244" s="563">
        <f t="shared" si="16"/>
        <v>18.75</v>
      </c>
      <c r="P244" s="564">
        <f t="shared" ca="1" si="17"/>
        <v>198</v>
      </c>
      <c r="Q244" s="552">
        <f t="shared" ca="1" si="18"/>
        <v>-2587.5</v>
      </c>
      <c r="R244" s="563">
        <f t="shared" ca="1" si="19"/>
        <v>1</v>
      </c>
      <c r="S244" s="565" t="s">
        <v>396</v>
      </c>
    </row>
    <row r="245" spans="2:19" ht="39.950000000000003" customHeight="1" x14ac:dyDescent="0.25">
      <c r="B245" s="859">
        <v>39902</v>
      </c>
      <c r="C245" s="558" t="s">
        <v>2349</v>
      </c>
      <c r="D245" s="558"/>
      <c r="E245" s="565" t="s">
        <v>399</v>
      </c>
      <c r="F245" s="548" t="s">
        <v>403</v>
      </c>
      <c r="G245" s="559" t="s">
        <v>351</v>
      </c>
      <c r="H245" s="548" t="s">
        <v>28</v>
      </c>
      <c r="I245" s="548" t="s">
        <v>394</v>
      </c>
      <c r="J245" s="548" t="s">
        <v>395</v>
      </c>
      <c r="K245" s="560">
        <v>6860</v>
      </c>
      <c r="L245" s="568">
        <v>35.770000000000003</v>
      </c>
      <c r="M245" s="552">
        <f t="shared" si="15"/>
        <v>191.7808219178082</v>
      </c>
      <c r="N245" s="562">
        <v>60</v>
      </c>
      <c r="O245" s="563">
        <f t="shared" si="16"/>
        <v>114.33333333333333</v>
      </c>
      <c r="P245" s="564">
        <f t="shared" ca="1" si="17"/>
        <v>198</v>
      </c>
      <c r="Q245" s="552">
        <f t="shared" ca="1" si="18"/>
        <v>-15778</v>
      </c>
      <c r="R245" s="563">
        <f t="shared" ca="1" si="19"/>
        <v>1</v>
      </c>
      <c r="S245" s="565" t="s">
        <v>402</v>
      </c>
    </row>
    <row r="246" spans="2:19" ht="39.950000000000003" customHeight="1" x14ac:dyDescent="0.25">
      <c r="B246" s="859">
        <v>39902</v>
      </c>
      <c r="C246" s="558" t="s">
        <v>2349</v>
      </c>
      <c r="D246" s="558"/>
      <c r="E246" s="565" t="s">
        <v>424</v>
      </c>
      <c r="F246" s="548" t="s">
        <v>429</v>
      </c>
      <c r="G246" s="559" t="s">
        <v>430</v>
      </c>
      <c r="H246" s="548" t="s">
        <v>28</v>
      </c>
      <c r="I246" s="548" t="s">
        <v>394</v>
      </c>
      <c r="J246" s="548" t="s">
        <v>395</v>
      </c>
      <c r="K246" s="560">
        <v>1127.75</v>
      </c>
      <c r="L246" s="568">
        <v>35.770000000000003</v>
      </c>
      <c r="M246" s="552">
        <f t="shared" si="15"/>
        <v>31.52781660609449</v>
      </c>
      <c r="N246" s="562">
        <v>60</v>
      </c>
      <c r="O246" s="563">
        <f t="shared" si="16"/>
        <v>18.795833333333334</v>
      </c>
      <c r="P246" s="564">
        <f t="shared" ca="1" si="17"/>
        <v>198</v>
      </c>
      <c r="Q246" s="552">
        <f t="shared" ca="1" si="18"/>
        <v>-2593.8250000000003</v>
      </c>
      <c r="R246" s="563">
        <f t="shared" ca="1" si="19"/>
        <v>1</v>
      </c>
      <c r="S246" s="565" t="s">
        <v>428</v>
      </c>
    </row>
    <row r="247" spans="2:19" ht="39.950000000000003" customHeight="1" x14ac:dyDescent="0.25">
      <c r="B247" s="859">
        <v>39902</v>
      </c>
      <c r="C247" s="558" t="s">
        <v>2349</v>
      </c>
      <c r="D247" s="558"/>
      <c r="E247" s="565" t="s">
        <v>399</v>
      </c>
      <c r="F247" s="548" t="s">
        <v>400</v>
      </c>
      <c r="G247" s="559" t="s">
        <v>401</v>
      </c>
      <c r="H247" s="548" t="s">
        <v>28</v>
      </c>
      <c r="I247" s="548" t="s">
        <v>394</v>
      </c>
      <c r="J247" s="548" t="s">
        <v>395</v>
      </c>
      <c r="K247" s="560">
        <v>3960</v>
      </c>
      <c r="L247" s="568">
        <v>35.770000000000003</v>
      </c>
      <c r="M247" s="552">
        <f t="shared" si="15"/>
        <v>110.70729661727704</v>
      </c>
      <c r="N247" s="562">
        <v>60</v>
      </c>
      <c r="O247" s="563">
        <f t="shared" si="16"/>
        <v>66</v>
      </c>
      <c r="P247" s="564">
        <f t="shared" ca="1" si="17"/>
        <v>198</v>
      </c>
      <c r="Q247" s="552">
        <f t="shared" ca="1" si="18"/>
        <v>-9108</v>
      </c>
      <c r="R247" s="563">
        <f t="shared" ca="1" si="19"/>
        <v>1</v>
      </c>
      <c r="S247" s="565" t="s">
        <v>402</v>
      </c>
    </row>
    <row r="248" spans="2:19" ht="39.950000000000003" customHeight="1" x14ac:dyDescent="0.25">
      <c r="B248" s="859">
        <v>39902</v>
      </c>
      <c r="C248" s="558" t="s">
        <v>2349</v>
      </c>
      <c r="D248" s="558"/>
      <c r="E248" s="565" t="s">
        <v>424</v>
      </c>
      <c r="F248" s="548" t="s">
        <v>425</v>
      </c>
      <c r="G248" s="559" t="s">
        <v>426</v>
      </c>
      <c r="H248" s="548" t="s">
        <v>28</v>
      </c>
      <c r="I248" s="548" t="s">
        <v>394</v>
      </c>
      <c r="J248" s="548" t="s">
        <v>395</v>
      </c>
      <c r="K248" s="560">
        <v>9478.2199999999993</v>
      </c>
      <c r="L248" s="568">
        <v>35.770000000000003</v>
      </c>
      <c r="M248" s="552">
        <f t="shared" si="15"/>
        <v>264.97679619793121</v>
      </c>
      <c r="N248" s="562">
        <v>60</v>
      </c>
      <c r="O248" s="563">
        <f t="shared" si="16"/>
        <v>157.97033333333331</v>
      </c>
      <c r="P248" s="564">
        <f t="shared" ca="1" si="17"/>
        <v>198</v>
      </c>
      <c r="Q248" s="552">
        <f t="shared" ca="1" si="18"/>
        <v>-21799.905999999995</v>
      </c>
      <c r="R248" s="563">
        <f t="shared" ca="1" si="19"/>
        <v>1</v>
      </c>
      <c r="S248" s="565" t="s">
        <v>402</v>
      </c>
    </row>
    <row r="249" spans="2:19" ht="39.950000000000003" customHeight="1" x14ac:dyDescent="0.25">
      <c r="B249" s="859">
        <v>39902</v>
      </c>
      <c r="C249" s="558" t="s">
        <v>2349</v>
      </c>
      <c r="D249" s="558"/>
      <c r="E249" s="565" t="s">
        <v>424</v>
      </c>
      <c r="F249" s="548" t="s">
        <v>427</v>
      </c>
      <c r="G249" s="559" t="s">
        <v>426</v>
      </c>
      <c r="H249" s="548" t="s">
        <v>28</v>
      </c>
      <c r="I249" s="548" t="s">
        <v>394</v>
      </c>
      <c r="J249" s="548" t="s">
        <v>395</v>
      </c>
      <c r="K249" s="560">
        <v>9478.2199999999993</v>
      </c>
      <c r="L249" s="568">
        <v>35.770000000000003</v>
      </c>
      <c r="M249" s="552">
        <f t="shared" si="15"/>
        <v>264.97679619793121</v>
      </c>
      <c r="N249" s="562">
        <v>60</v>
      </c>
      <c r="O249" s="563">
        <f t="shared" si="16"/>
        <v>157.97033333333331</v>
      </c>
      <c r="P249" s="564">
        <f t="shared" ca="1" si="17"/>
        <v>198</v>
      </c>
      <c r="Q249" s="552">
        <f t="shared" ca="1" si="18"/>
        <v>-21799.905999999995</v>
      </c>
      <c r="R249" s="563">
        <f t="shared" ca="1" si="19"/>
        <v>1</v>
      </c>
      <c r="S249" s="565" t="s">
        <v>428</v>
      </c>
    </row>
    <row r="250" spans="2:19" ht="48" customHeight="1" x14ac:dyDescent="0.25">
      <c r="B250" s="859">
        <v>39925</v>
      </c>
      <c r="C250" s="558" t="s">
        <v>2349</v>
      </c>
      <c r="D250" s="558"/>
      <c r="E250" s="565" t="s">
        <v>433</v>
      </c>
      <c r="F250" s="548" t="s">
        <v>434</v>
      </c>
      <c r="G250" s="559" t="s">
        <v>435</v>
      </c>
      <c r="H250" s="548" t="s">
        <v>28</v>
      </c>
      <c r="I250" s="548" t="s">
        <v>23</v>
      </c>
      <c r="J250" s="548" t="s">
        <v>54</v>
      </c>
      <c r="K250" s="560">
        <v>10509.67</v>
      </c>
      <c r="L250" s="561">
        <v>35.9</v>
      </c>
      <c r="M250" s="552">
        <f t="shared" si="15"/>
        <v>292.74846796657386</v>
      </c>
      <c r="N250" s="562">
        <v>60</v>
      </c>
      <c r="O250" s="563">
        <f t="shared" si="16"/>
        <v>175.16116666666667</v>
      </c>
      <c r="P250" s="564">
        <f t="shared" ca="1" si="17"/>
        <v>197</v>
      </c>
      <c r="Q250" s="552">
        <f t="shared" ca="1" si="18"/>
        <v>-23997.079833333337</v>
      </c>
      <c r="R250" s="563">
        <f t="shared" ca="1" si="19"/>
        <v>1</v>
      </c>
      <c r="S250" s="565" t="s">
        <v>402</v>
      </c>
    </row>
    <row r="251" spans="2:19" ht="65.25" customHeight="1" x14ac:dyDescent="0.25">
      <c r="B251" s="859">
        <v>39925</v>
      </c>
      <c r="C251" s="558" t="s">
        <v>2349</v>
      </c>
      <c r="D251" s="558"/>
      <c r="E251" s="565" t="s">
        <v>433</v>
      </c>
      <c r="F251" s="548" t="s">
        <v>436</v>
      </c>
      <c r="G251" s="559" t="s">
        <v>437</v>
      </c>
      <c r="H251" s="548" t="s">
        <v>28</v>
      </c>
      <c r="I251" s="548" t="s">
        <v>23</v>
      </c>
      <c r="J251" s="548" t="s">
        <v>54</v>
      </c>
      <c r="K251" s="560">
        <v>10900</v>
      </c>
      <c r="L251" s="561">
        <v>35.9</v>
      </c>
      <c r="M251" s="552">
        <f t="shared" si="15"/>
        <v>303.62116991643455</v>
      </c>
      <c r="N251" s="562">
        <v>60</v>
      </c>
      <c r="O251" s="563">
        <f t="shared" si="16"/>
        <v>181.66666666666666</v>
      </c>
      <c r="P251" s="564">
        <f t="shared" ca="1" si="17"/>
        <v>197</v>
      </c>
      <c r="Q251" s="552">
        <f t="shared" ca="1" si="18"/>
        <v>-24888.333333333328</v>
      </c>
      <c r="R251" s="563">
        <f t="shared" ca="1" si="19"/>
        <v>1</v>
      </c>
      <c r="S251" s="565" t="s">
        <v>402</v>
      </c>
    </row>
    <row r="252" spans="2:19" ht="39.950000000000003" customHeight="1" x14ac:dyDescent="0.25">
      <c r="B252" s="859">
        <v>39933</v>
      </c>
      <c r="C252" s="558" t="s">
        <v>2349</v>
      </c>
      <c r="D252" s="558"/>
      <c r="E252" s="565" t="s">
        <v>439</v>
      </c>
      <c r="F252" s="548" t="s">
        <v>440</v>
      </c>
      <c r="G252" s="559" t="s">
        <v>441</v>
      </c>
      <c r="H252" s="548" t="s">
        <v>28</v>
      </c>
      <c r="I252" s="548" t="s">
        <v>23</v>
      </c>
      <c r="J252" s="548" t="s">
        <v>442</v>
      </c>
      <c r="K252" s="560">
        <v>3998</v>
      </c>
      <c r="L252" s="561">
        <v>35.9</v>
      </c>
      <c r="M252" s="552">
        <f t="shared" si="15"/>
        <v>111.36490250696379</v>
      </c>
      <c r="N252" s="562">
        <v>60</v>
      </c>
      <c r="O252" s="563">
        <f t="shared" si="16"/>
        <v>66.63333333333334</v>
      </c>
      <c r="P252" s="564">
        <f t="shared" ca="1" si="17"/>
        <v>197</v>
      </c>
      <c r="Q252" s="552">
        <f t="shared" ca="1" si="18"/>
        <v>-9128.7666666666682</v>
      </c>
      <c r="R252" s="563">
        <f t="shared" ca="1" si="19"/>
        <v>1</v>
      </c>
      <c r="S252" s="565" t="s">
        <v>443</v>
      </c>
    </row>
    <row r="253" spans="2:19" ht="39.950000000000003" customHeight="1" x14ac:dyDescent="0.25">
      <c r="B253" s="859">
        <v>39933</v>
      </c>
      <c r="C253" s="558" t="s">
        <v>2349</v>
      </c>
      <c r="D253" s="558"/>
      <c r="E253" s="565" t="s">
        <v>439</v>
      </c>
      <c r="F253" s="548" t="s">
        <v>444</v>
      </c>
      <c r="G253" s="559" t="s">
        <v>441</v>
      </c>
      <c r="H253" s="548" t="s">
        <v>28</v>
      </c>
      <c r="I253" s="548" t="s">
        <v>23</v>
      </c>
      <c r="J253" s="548" t="s">
        <v>442</v>
      </c>
      <c r="K253" s="560">
        <v>3998</v>
      </c>
      <c r="L253" s="561">
        <v>35.9</v>
      </c>
      <c r="M253" s="552">
        <f t="shared" si="15"/>
        <v>111.36490250696379</v>
      </c>
      <c r="N253" s="562">
        <v>60</v>
      </c>
      <c r="O253" s="563">
        <f t="shared" si="16"/>
        <v>66.63333333333334</v>
      </c>
      <c r="P253" s="564">
        <f t="shared" ca="1" si="17"/>
        <v>197</v>
      </c>
      <c r="Q253" s="552">
        <f t="shared" ca="1" si="18"/>
        <v>-9128.7666666666682</v>
      </c>
      <c r="R253" s="563">
        <f t="shared" ca="1" si="19"/>
        <v>1</v>
      </c>
      <c r="S253" s="565" t="s">
        <v>443</v>
      </c>
    </row>
    <row r="254" spans="2:19" ht="46.5" customHeight="1" x14ac:dyDescent="0.25">
      <c r="B254" s="859">
        <v>39960</v>
      </c>
      <c r="C254" s="558" t="s">
        <v>2349</v>
      </c>
      <c r="D254" s="558"/>
      <c r="E254" s="565" t="s">
        <v>450</v>
      </c>
      <c r="F254" s="548" t="s">
        <v>453</v>
      </c>
      <c r="G254" s="559" t="s">
        <v>454</v>
      </c>
      <c r="H254" s="548" t="s">
        <v>28</v>
      </c>
      <c r="I254" s="548" t="s">
        <v>23</v>
      </c>
      <c r="J254" s="548" t="s">
        <v>54</v>
      </c>
      <c r="K254" s="560">
        <v>1830.1</v>
      </c>
      <c r="L254" s="561">
        <v>35.65</v>
      </c>
      <c r="M254" s="552">
        <f t="shared" si="15"/>
        <v>51.335203366058906</v>
      </c>
      <c r="N254" s="562">
        <v>60</v>
      </c>
      <c r="O254" s="563">
        <f t="shared" si="16"/>
        <v>30.501666666666665</v>
      </c>
      <c r="P254" s="564">
        <f t="shared" ca="1" si="17"/>
        <v>196</v>
      </c>
      <c r="Q254" s="552">
        <f t="shared" ca="1" si="18"/>
        <v>-4148.2266666666656</v>
      </c>
      <c r="R254" s="563">
        <f t="shared" ca="1" si="19"/>
        <v>1</v>
      </c>
      <c r="S254" s="565" t="s">
        <v>443</v>
      </c>
    </row>
    <row r="255" spans="2:19" ht="39.950000000000003" customHeight="1" x14ac:dyDescent="0.25">
      <c r="B255" s="859">
        <v>39960</v>
      </c>
      <c r="C255" s="558" t="s">
        <v>2349</v>
      </c>
      <c r="D255" s="558"/>
      <c r="E255" s="565" t="s">
        <v>446</v>
      </c>
      <c r="F255" s="548" t="s">
        <v>447</v>
      </c>
      <c r="G255" s="559" t="s">
        <v>448</v>
      </c>
      <c r="H255" s="548" t="s">
        <v>449</v>
      </c>
      <c r="I255" s="548" t="s">
        <v>23</v>
      </c>
      <c r="J255" s="548" t="s">
        <v>54</v>
      </c>
      <c r="K255" s="560">
        <v>24694.39</v>
      </c>
      <c r="L255" s="561">
        <v>35.65</v>
      </c>
      <c r="M255" s="552">
        <f t="shared" si="15"/>
        <v>692.6897615708275</v>
      </c>
      <c r="N255" s="562">
        <v>60</v>
      </c>
      <c r="O255" s="563">
        <f t="shared" si="16"/>
        <v>411.57316666666668</v>
      </c>
      <c r="P255" s="564">
        <f t="shared" ca="1" si="17"/>
        <v>196</v>
      </c>
      <c r="Q255" s="552">
        <f t="shared" ca="1" si="18"/>
        <v>-55973.950666666671</v>
      </c>
      <c r="R255" s="563">
        <f t="shared" ca="1" si="19"/>
        <v>1</v>
      </c>
      <c r="S255" s="565" t="s">
        <v>443</v>
      </c>
    </row>
    <row r="256" spans="2:19" ht="48" customHeight="1" x14ac:dyDescent="0.25">
      <c r="B256" s="859">
        <v>39960</v>
      </c>
      <c r="C256" s="558" t="s">
        <v>2349</v>
      </c>
      <c r="D256" s="558"/>
      <c r="E256" s="565" t="s">
        <v>450</v>
      </c>
      <c r="F256" s="548" t="s">
        <v>451</v>
      </c>
      <c r="G256" s="559" t="s">
        <v>452</v>
      </c>
      <c r="H256" s="548" t="s">
        <v>28</v>
      </c>
      <c r="I256" s="548" t="s">
        <v>23</v>
      </c>
      <c r="J256" s="548" t="s">
        <v>54</v>
      </c>
      <c r="K256" s="560">
        <v>1829.8</v>
      </c>
      <c r="L256" s="561">
        <v>35.65</v>
      </c>
      <c r="M256" s="552">
        <f t="shared" si="15"/>
        <v>51.32678821879383</v>
      </c>
      <c r="N256" s="562">
        <v>60</v>
      </c>
      <c r="O256" s="563">
        <f t="shared" si="16"/>
        <v>30.496666666666666</v>
      </c>
      <c r="P256" s="564">
        <f t="shared" ca="1" si="17"/>
        <v>196</v>
      </c>
      <c r="Q256" s="552">
        <f t="shared" ca="1" si="18"/>
        <v>-4147.5466666666662</v>
      </c>
      <c r="R256" s="563">
        <f t="shared" ca="1" si="19"/>
        <v>1</v>
      </c>
      <c r="S256" s="565" t="s">
        <v>443</v>
      </c>
    </row>
    <row r="257" spans="1:19" ht="56.25" customHeight="1" x14ac:dyDescent="0.25">
      <c r="B257" s="859">
        <v>39962</v>
      </c>
      <c r="C257" s="558" t="s">
        <v>2349</v>
      </c>
      <c r="D257" s="558"/>
      <c r="E257" s="565" t="s">
        <v>455</v>
      </c>
      <c r="F257" s="548" t="s">
        <v>461</v>
      </c>
      <c r="G257" s="559" t="s">
        <v>409</v>
      </c>
      <c r="H257" s="548" t="s">
        <v>28</v>
      </c>
      <c r="I257" s="548" t="s">
        <v>4373</v>
      </c>
      <c r="J257" s="548" t="s">
        <v>458</v>
      </c>
      <c r="K257" s="560">
        <v>932.52233508750498</v>
      </c>
      <c r="L257" s="561">
        <v>35.9</v>
      </c>
      <c r="M257" s="552">
        <f t="shared" si="15"/>
        <v>25.975552509401254</v>
      </c>
      <c r="N257" s="562">
        <v>60</v>
      </c>
      <c r="O257" s="563">
        <f t="shared" si="16"/>
        <v>15.542038918125083</v>
      </c>
      <c r="P257" s="564">
        <f t="shared" ca="1" si="17"/>
        <v>196</v>
      </c>
      <c r="Q257" s="552">
        <f t="shared" ca="1" si="18"/>
        <v>-2113.7172928650116</v>
      </c>
      <c r="R257" s="563">
        <f t="shared" ca="1" si="19"/>
        <v>1</v>
      </c>
      <c r="S257" s="565" t="s">
        <v>459</v>
      </c>
    </row>
    <row r="258" spans="1:19" ht="39.950000000000003" customHeight="1" x14ac:dyDescent="0.25">
      <c r="B258" s="859">
        <v>39962</v>
      </c>
      <c r="C258" s="558" t="s">
        <v>2349</v>
      </c>
      <c r="D258" s="558"/>
      <c r="E258" s="565" t="s">
        <v>455</v>
      </c>
      <c r="F258" s="548" t="s">
        <v>462</v>
      </c>
      <c r="G258" s="559" t="s">
        <v>409</v>
      </c>
      <c r="H258" s="548" t="s">
        <v>28</v>
      </c>
      <c r="I258" s="548" t="s">
        <v>4373</v>
      </c>
      <c r="J258" s="548" t="s">
        <v>458</v>
      </c>
      <c r="K258" s="560">
        <v>932.52233508750464</v>
      </c>
      <c r="L258" s="561">
        <v>35.9</v>
      </c>
      <c r="M258" s="552">
        <f t="shared" si="15"/>
        <v>25.975552509401243</v>
      </c>
      <c r="N258" s="562">
        <v>60</v>
      </c>
      <c r="O258" s="563">
        <f t="shared" si="16"/>
        <v>15.542038918125078</v>
      </c>
      <c r="P258" s="564">
        <f t="shared" ca="1" si="17"/>
        <v>196</v>
      </c>
      <c r="Q258" s="552">
        <f t="shared" ca="1" si="18"/>
        <v>-2113.7172928650107</v>
      </c>
      <c r="R258" s="563">
        <f t="shared" ca="1" si="19"/>
        <v>1</v>
      </c>
      <c r="S258" s="565" t="s">
        <v>459</v>
      </c>
    </row>
    <row r="259" spans="1:19" ht="39.950000000000003" customHeight="1" x14ac:dyDescent="0.25">
      <c r="B259" s="859">
        <v>39962</v>
      </c>
      <c r="C259" s="558" t="s">
        <v>2349</v>
      </c>
      <c r="D259" s="558"/>
      <c r="E259" s="565" t="s">
        <v>455</v>
      </c>
      <c r="F259" s="548" t="s">
        <v>471</v>
      </c>
      <c r="G259" s="559" t="s">
        <v>409</v>
      </c>
      <c r="H259" s="548" t="s">
        <v>28</v>
      </c>
      <c r="I259" s="548" t="s">
        <v>19</v>
      </c>
      <c r="J259" s="548" t="s">
        <v>19</v>
      </c>
      <c r="K259" s="560">
        <v>932.52233508750464</v>
      </c>
      <c r="L259" s="561">
        <v>35.9</v>
      </c>
      <c r="M259" s="552">
        <f t="shared" si="15"/>
        <v>25.975552509401243</v>
      </c>
      <c r="N259" s="562">
        <v>60</v>
      </c>
      <c r="O259" s="563">
        <f t="shared" si="16"/>
        <v>15.542038918125078</v>
      </c>
      <c r="P259" s="564">
        <f t="shared" ca="1" si="17"/>
        <v>196</v>
      </c>
      <c r="Q259" s="552">
        <f t="shared" ca="1" si="18"/>
        <v>-2113.7172928650107</v>
      </c>
      <c r="R259" s="563">
        <f t="shared" ca="1" si="19"/>
        <v>1</v>
      </c>
      <c r="S259" s="565" t="s">
        <v>459</v>
      </c>
    </row>
    <row r="260" spans="1:19" ht="48" customHeight="1" x14ac:dyDescent="0.25">
      <c r="B260" s="859">
        <v>39962</v>
      </c>
      <c r="C260" s="558" t="s">
        <v>2349</v>
      </c>
      <c r="D260" s="558"/>
      <c r="E260" s="565" t="s">
        <v>455</v>
      </c>
      <c r="F260" s="548" t="s">
        <v>472</v>
      </c>
      <c r="G260" s="559" t="s">
        <v>409</v>
      </c>
      <c r="H260" s="548" t="s">
        <v>28</v>
      </c>
      <c r="I260" s="548" t="s">
        <v>19</v>
      </c>
      <c r="J260" s="548" t="s">
        <v>19</v>
      </c>
      <c r="K260" s="560">
        <v>932.52233508750464</v>
      </c>
      <c r="L260" s="561">
        <v>35.9</v>
      </c>
      <c r="M260" s="552">
        <f t="shared" si="15"/>
        <v>25.975552509401243</v>
      </c>
      <c r="N260" s="562">
        <v>60</v>
      </c>
      <c r="O260" s="563">
        <f t="shared" si="16"/>
        <v>15.542038918125078</v>
      </c>
      <c r="P260" s="564">
        <f t="shared" ca="1" si="17"/>
        <v>196</v>
      </c>
      <c r="Q260" s="552">
        <f t="shared" ca="1" si="18"/>
        <v>-2113.7172928650107</v>
      </c>
      <c r="R260" s="563">
        <f t="shared" ca="1" si="19"/>
        <v>1</v>
      </c>
      <c r="S260" s="565" t="s">
        <v>459</v>
      </c>
    </row>
    <row r="261" spans="1:19" ht="39.950000000000003" customHeight="1" x14ac:dyDescent="0.25">
      <c r="B261" s="859">
        <v>39962</v>
      </c>
      <c r="C261" s="558" t="s">
        <v>2349</v>
      </c>
      <c r="D261" s="558"/>
      <c r="E261" s="565" t="s">
        <v>455</v>
      </c>
      <c r="F261" s="548" t="s">
        <v>473</v>
      </c>
      <c r="G261" s="559" t="s">
        <v>409</v>
      </c>
      <c r="H261" s="548" t="s">
        <v>28</v>
      </c>
      <c r="I261" s="548" t="s">
        <v>19</v>
      </c>
      <c r="J261" s="548" t="s">
        <v>19</v>
      </c>
      <c r="K261" s="560">
        <v>932.52233508750464</v>
      </c>
      <c r="L261" s="561">
        <v>35.9</v>
      </c>
      <c r="M261" s="552">
        <f t="shared" si="15"/>
        <v>25.975552509401243</v>
      </c>
      <c r="N261" s="562">
        <v>60</v>
      </c>
      <c r="O261" s="563">
        <f t="shared" si="16"/>
        <v>15.542038918125078</v>
      </c>
      <c r="P261" s="564">
        <f t="shared" ca="1" si="17"/>
        <v>196</v>
      </c>
      <c r="Q261" s="552">
        <f t="shared" ca="1" si="18"/>
        <v>-2113.7172928650107</v>
      </c>
      <c r="R261" s="563">
        <f t="shared" ca="1" si="19"/>
        <v>1</v>
      </c>
      <c r="S261" s="565" t="s">
        <v>459</v>
      </c>
    </row>
    <row r="262" spans="1:19" s="323" customFormat="1" ht="39.950000000000003" customHeight="1" x14ac:dyDescent="0.25">
      <c r="A262"/>
      <c r="B262" s="859">
        <v>39962</v>
      </c>
      <c r="C262" s="558" t="s">
        <v>2349</v>
      </c>
      <c r="D262" s="558"/>
      <c r="E262" s="565" t="s">
        <v>455</v>
      </c>
      <c r="F262" s="548" t="s">
        <v>474</v>
      </c>
      <c r="G262" s="559" t="s">
        <v>409</v>
      </c>
      <c r="H262" s="548" t="s">
        <v>28</v>
      </c>
      <c r="I262" s="548" t="s">
        <v>19</v>
      </c>
      <c r="J262" s="548" t="s">
        <v>19</v>
      </c>
      <c r="K262" s="560">
        <v>932.52233508750464</v>
      </c>
      <c r="L262" s="561">
        <v>35.9</v>
      </c>
      <c r="M262" s="552">
        <f t="shared" si="15"/>
        <v>25.975552509401243</v>
      </c>
      <c r="N262" s="562">
        <v>60</v>
      </c>
      <c r="O262" s="563">
        <f t="shared" si="16"/>
        <v>15.542038918125078</v>
      </c>
      <c r="P262" s="564">
        <f t="shared" ca="1" si="17"/>
        <v>196</v>
      </c>
      <c r="Q262" s="552">
        <f t="shared" ca="1" si="18"/>
        <v>-2113.7172928650107</v>
      </c>
      <c r="R262" s="563">
        <f t="shared" ca="1" si="19"/>
        <v>1</v>
      </c>
      <c r="S262" s="565" t="s">
        <v>459</v>
      </c>
    </row>
    <row r="263" spans="1:19" ht="39.950000000000003" customHeight="1" x14ac:dyDescent="0.25">
      <c r="B263" s="859">
        <v>39962</v>
      </c>
      <c r="C263" s="558" t="s">
        <v>2349</v>
      </c>
      <c r="D263" s="558"/>
      <c r="E263" s="565" t="s">
        <v>455</v>
      </c>
      <c r="F263" s="548" t="s">
        <v>475</v>
      </c>
      <c r="G263" s="559" t="s">
        <v>409</v>
      </c>
      <c r="H263" s="548" t="s">
        <v>28</v>
      </c>
      <c r="I263" s="548" t="s">
        <v>19</v>
      </c>
      <c r="J263" s="548" t="s">
        <v>19</v>
      </c>
      <c r="K263" s="560">
        <v>932.52233508750464</v>
      </c>
      <c r="L263" s="561">
        <v>35.9</v>
      </c>
      <c r="M263" s="552">
        <f t="shared" si="15"/>
        <v>25.975552509401243</v>
      </c>
      <c r="N263" s="562">
        <v>60</v>
      </c>
      <c r="O263" s="563">
        <f t="shared" si="16"/>
        <v>15.542038918125078</v>
      </c>
      <c r="P263" s="564">
        <f t="shared" ca="1" si="17"/>
        <v>196</v>
      </c>
      <c r="Q263" s="552">
        <f t="shared" ca="1" si="18"/>
        <v>-2113.7172928650107</v>
      </c>
      <c r="R263" s="563">
        <f t="shared" ca="1" si="19"/>
        <v>1</v>
      </c>
      <c r="S263" s="565" t="s">
        <v>459</v>
      </c>
    </row>
    <row r="264" spans="1:19" ht="39.950000000000003" customHeight="1" x14ac:dyDescent="0.25">
      <c r="B264" s="859">
        <v>39962</v>
      </c>
      <c r="C264" s="558" t="s">
        <v>2349</v>
      </c>
      <c r="D264" s="558"/>
      <c r="E264" s="565" t="s">
        <v>455</v>
      </c>
      <c r="F264" s="548" t="s">
        <v>496</v>
      </c>
      <c r="G264" s="559" t="s">
        <v>409</v>
      </c>
      <c r="H264" s="548" t="s">
        <v>28</v>
      </c>
      <c r="I264" s="548" t="s">
        <v>487</v>
      </c>
      <c r="J264" s="548" t="s">
        <v>488</v>
      </c>
      <c r="K264" s="560">
        <v>932.52233508750464</v>
      </c>
      <c r="L264" s="561">
        <v>35.9</v>
      </c>
      <c r="M264" s="552">
        <f t="shared" ref="M264:M327" si="20">+K264/L264</f>
        <v>25.975552509401243</v>
      </c>
      <c r="N264" s="562">
        <v>60</v>
      </c>
      <c r="O264" s="563">
        <f t="shared" ref="O264:O327" si="21">IF(AND(K264&lt;&gt;0,N264&lt;&gt;0),K264/N264,0)</f>
        <v>15.542038918125078</v>
      </c>
      <c r="P264" s="564">
        <f t="shared" ref="P264:P327" ca="1" si="22">IF(B264&lt;&gt;0,(ROUND((NOW()-B264)/30,0)),0)</f>
        <v>196</v>
      </c>
      <c r="Q264" s="552">
        <f t="shared" ref="Q264:Q327" ca="1" si="23">IF(OR(K264=0,N264=0,P264=0),0,K264-(O264*P264))</f>
        <v>-2113.7172928650107</v>
      </c>
      <c r="R264" s="563">
        <f t="shared" ref="R264:R327" ca="1" si="24">IF(Q264&lt;1,1,Q264)</f>
        <v>1</v>
      </c>
      <c r="S264" s="565" t="s">
        <v>459</v>
      </c>
    </row>
    <row r="265" spans="1:19" ht="39.950000000000003" customHeight="1" x14ac:dyDescent="0.25">
      <c r="B265" s="859">
        <v>39962</v>
      </c>
      <c r="C265" s="558" t="s">
        <v>2349</v>
      </c>
      <c r="D265" s="558"/>
      <c r="E265" s="565" t="s">
        <v>455</v>
      </c>
      <c r="F265" s="548" t="s">
        <v>505</v>
      </c>
      <c r="G265" s="559" t="s">
        <v>409</v>
      </c>
      <c r="H265" s="548" t="s">
        <v>28</v>
      </c>
      <c r="I265" s="548" t="s">
        <v>23</v>
      </c>
      <c r="J265" s="548" t="s">
        <v>24</v>
      </c>
      <c r="K265" s="560">
        <v>932.52233508750464</v>
      </c>
      <c r="L265" s="561">
        <v>35.9</v>
      </c>
      <c r="M265" s="552">
        <f t="shared" si="20"/>
        <v>25.975552509401243</v>
      </c>
      <c r="N265" s="562">
        <v>60</v>
      </c>
      <c r="O265" s="563">
        <f t="shared" si="21"/>
        <v>15.542038918125078</v>
      </c>
      <c r="P265" s="564">
        <f t="shared" ca="1" si="22"/>
        <v>196</v>
      </c>
      <c r="Q265" s="552">
        <f t="shared" ca="1" si="23"/>
        <v>-2113.7172928650107</v>
      </c>
      <c r="R265" s="563">
        <f t="shared" ca="1" si="24"/>
        <v>1</v>
      </c>
      <c r="S265" s="565" t="s">
        <v>459</v>
      </c>
    </row>
    <row r="266" spans="1:19" ht="39.950000000000003" customHeight="1" x14ac:dyDescent="0.25">
      <c r="B266" s="859">
        <v>39962</v>
      </c>
      <c r="C266" s="558" t="s">
        <v>2349</v>
      </c>
      <c r="D266" s="558"/>
      <c r="E266" s="565" t="s">
        <v>455</v>
      </c>
      <c r="F266" s="548" t="s">
        <v>460</v>
      </c>
      <c r="G266" s="559" t="s">
        <v>405</v>
      </c>
      <c r="H266" s="548" t="s">
        <v>28</v>
      </c>
      <c r="I266" s="548" t="s">
        <v>457</v>
      </c>
      <c r="J266" s="548" t="s">
        <v>458</v>
      </c>
      <c r="K266" s="560">
        <v>5417.5107086035978</v>
      </c>
      <c r="L266" s="561">
        <v>35.9</v>
      </c>
      <c r="M266" s="552">
        <f t="shared" si="20"/>
        <v>150.90559076890244</v>
      </c>
      <c r="N266" s="562">
        <v>60</v>
      </c>
      <c r="O266" s="563">
        <f t="shared" si="21"/>
        <v>90.291845143393303</v>
      </c>
      <c r="P266" s="564">
        <f t="shared" ca="1" si="22"/>
        <v>196</v>
      </c>
      <c r="Q266" s="552">
        <f t="shared" ca="1" si="23"/>
        <v>-12279.690939501492</v>
      </c>
      <c r="R266" s="563">
        <f t="shared" ca="1" si="24"/>
        <v>1</v>
      </c>
      <c r="S266" s="565" t="s">
        <v>459</v>
      </c>
    </row>
    <row r="267" spans="1:19" ht="39.950000000000003" customHeight="1" x14ac:dyDescent="0.25">
      <c r="B267" s="859">
        <v>39962</v>
      </c>
      <c r="C267" s="558" t="s">
        <v>2349</v>
      </c>
      <c r="D267" s="558"/>
      <c r="E267" s="565" t="s">
        <v>455</v>
      </c>
      <c r="F267" s="548" t="s">
        <v>469</v>
      </c>
      <c r="G267" s="559" t="s">
        <v>405</v>
      </c>
      <c r="H267" s="548" t="s">
        <v>28</v>
      </c>
      <c r="I267" s="548" t="s">
        <v>470</v>
      </c>
      <c r="J267" s="548" t="s">
        <v>19</v>
      </c>
      <c r="K267" s="560">
        <v>5417.5107086035978</v>
      </c>
      <c r="L267" s="561">
        <v>35.9</v>
      </c>
      <c r="M267" s="552">
        <f t="shared" si="20"/>
        <v>150.90559076890244</v>
      </c>
      <c r="N267" s="562">
        <v>60</v>
      </c>
      <c r="O267" s="563">
        <f t="shared" si="21"/>
        <v>90.291845143393303</v>
      </c>
      <c r="P267" s="564">
        <f t="shared" ca="1" si="22"/>
        <v>196</v>
      </c>
      <c r="Q267" s="552">
        <f t="shared" ca="1" si="23"/>
        <v>-12279.690939501492</v>
      </c>
      <c r="R267" s="563">
        <f t="shared" ca="1" si="24"/>
        <v>1</v>
      </c>
      <c r="S267" s="565" t="s">
        <v>459</v>
      </c>
    </row>
    <row r="268" spans="1:19" ht="39.950000000000003" customHeight="1" x14ac:dyDescent="0.25">
      <c r="B268" s="859">
        <v>39962</v>
      </c>
      <c r="C268" s="558" t="s">
        <v>2349</v>
      </c>
      <c r="D268" s="558"/>
      <c r="E268" s="565" t="s">
        <v>455</v>
      </c>
      <c r="F268" s="548" t="s">
        <v>483</v>
      </c>
      <c r="G268" s="559" t="s">
        <v>405</v>
      </c>
      <c r="H268" s="548" t="s">
        <v>28</v>
      </c>
      <c r="I268" s="548" t="s">
        <v>480</v>
      </c>
      <c r="J268" s="548" t="s">
        <v>481</v>
      </c>
      <c r="K268" s="560">
        <v>5417.5107086035978</v>
      </c>
      <c r="L268" s="561">
        <v>35.9</v>
      </c>
      <c r="M268" s="552">
        <f t="shared" si="20"/>
        <v>150.90559076890244</v>
      </c>
      <c r="N268" s="562">
        <v>60</v>
      </c>
      <c r="O268" s="563">
        <f t="shared" si="21"/>
        <v>90.291845143393303</v>
      </c>
      <c r="P268" s="564">
        <f t="shared" ca="1" si="22"/>
        <v>196</v>
      </c>
      <c r="Q268" s="552">
        <f t="shared" ca="1" si="23"/>
        <v>-12279.690939501492</v>
      </c>
      <c r="R268" s="563">
        <f t="shared" ca="1" si="24"/>
        <v>1</v>
      </c>
      <c r="S268" s="565" t="s">
        <v>459</v>
      </c>
    </row>
    <row r="269" spans="1:19" ht="39.950000000000003" customHeight="1" x14ac:dyDescent="0.25">
      <c r="B269" s="859">
        <v>39962</v>
      </c>
      <c r="C269" s="558" t="s">
        <v>2349</v>
      </c>
      <c r="D269" s="558"/>
      <c r="E269" s="565" t="s">
        <v>455</v>
      </c>
      <c r="F269" s="548" t="s">
        <v>484</v>
      </c>
      <c r="G269" s="559" t="s">
        <v>405</v>
      </c>
      <c r="H269" s="548" t="s">
        <v>28</v>
      </c>
      <c r="I269" s="548" t="s">
        <v>480</v>
      </c>
      <c r="J269" s="548" t="s">
        <v>481</v>
      </c>
      <c r="K269" s="560">
        <v>5417.5107086035978</v>
      </c>
      <c r="L269" s="561">
        <v>35.9</v>
      </c>
      <c r="M269" s="552">
        <f t="shared" si="20"/>
        <v>150.90559076890244</v>
      </c>
      <c r="N269" s="562">
        <v>60</v>
      </c>
      <c r="O269" s="563">
        <f t="shared" si="21"/>
        <v>90.291845143393303</v>
      </c>
      <c r="P269" s="564">
        <f t="shared" ca="1" si="22"/>
        <v>196</v>
      </c>
      <c r="Q269" s="552">
        <f t="shared" ca="1" si="23"/>
        <v>-12279.690939501492</v>
      </c>
      <c r="R269" s="563">
        <f t="shared" ca="1" si="24"/>
        <v>1</v>
      </c>
      <c r="S269" s="565" t="s">
        <v>459</v>
      </c>
    </row>
    <row r="270" spans="1:19" ht="39.950000000000003" customHeight="1" x14ac:dyDescent="0.25">
      <c r="B270" s="859">
        <v>39962</v>
      </c>
      <c r="C270" s="558" t="s">
        <v>2349</v>
      </c>
      <c r="D270" s="558"/>
      <c r="E270" s="565" t="s">
        <v>455</v>
      </c>
      <c r="F270" s="548" t="s">
        <v>485</v>
      </c>
      <c r="G270" s="559" t="s">
        <v>405</v>
      </c>
      <c r="H270" s="548" t="s">
        <v>28</v>
      </c>
      <c r="I270" s="548" t="s">
        <v>480</v>
      </c>
      <c r="J270" s="548" t="s">
        <v>481</v>
      </c>
      <c r="K270" s="560">
        <v>5417.5107086035978</v>
      </c>
      <c r="L270" s="561">
        <v>35.9</v>
      </c>
      <c r="M270" s="552">
        <f t="shared" si="20"/>
        <v>150.90559076890244</v>
      </c>
      <c r="N270" s="562">
        <v>60</v>
      </c>
      <c r="O270" s="563">
        <f t="shared" si="21"/>
        <v>90.291845143393303</v>
      </c>
      <c r="P270" s="564">
        <f t="shared" ca="1" si="22"/>
        <v>196</v>
      </c>
      <c r="Q270" s="552">
        <f t="shared" ca="1" si="23"/>
        <v>-12279.690939501492</v>
      </c>
      <c r="R270" s="563">
        <f t="shared" ca="1" si="24"/>
        <v>1</v>
      </c>
      <c r="S270" s="565" t="s">
        <v>459</v>
      </c>
    </row>
    <row r="271" spans="1:19" ht="39.950000000000003" customHeight="1" x14ac:dyDescent="0.25">
      <c r="B271" s="859">
        <v>39962</v>
      </c>
      <c r="C271" s="558" t="s">
        <v>2349</v>
      </c>
      <c r="D271" s="558"/>
      <c r="E271" s="565" t="s">
        <v>455</v>
      </c>
      <c r="F271" s="548" t="s">
        <v>494</v>
      </c>
      <c r="G271" s="559" t="s">
        <v>405</v>
      </c>
      <c r="H271" s="548" t="s">
        <v>28</v>
      </c>
      <c r="I271" s="548" t="s">
        <v>487</v>
      </c>
      <c r="J271" s="548" t="s">
        <v>488</v>
      </c>
      <c r="K271" s="560">
        <v>5417.5107086035978</v>
      </c>
      <c r="L271" s="561">
        <v>35.9</v>
      </c>
      <c r="M271" s="552">
        <f t="shared" si="20"/>
        <v>150.90559076890244</v>
      </c>
      <c r="N271" s="562">
        <v>60</v>
      </c>
      <c r="O271" s="563">
        <f t="shared" si="21"/>
        <v>90.291845143393303</v>
      </c>
      <c r="P271" s="564">
        <f t="shared" ca="1" si="22"/>
        <v>196</v>
      </c>
      <c r="Q271" s="552">
        <f t="shared" ca="1" si="23"/>
        <v>-12279.690939501492</v>
      </c>
      <c r="R271" s="563">
        <f t="shared" ca="1" si="24"/>
        <v>1</v>
      </c>
      <c r="S271" s="565" t="s">
        <v>459</v>
      </c>
    </row>
    <row r="272" spans="1:19" ht="39.950000000000003" customHeight="1" x14ac:dyDescent="0.25">
      <c r="B272" s="859">
        <v>39962</v>
      </c>
      <c r="C272" s="558" t="s">
        <v>2349</v>
      </c>
      <c r="D272" s="558"/>
      <c r="E272" s="565" t="s">
        <v>455</v>
      </c>
      <c r="F272" s="548" t="s">
        <v>495</v>
      </c>
      <c r="G272" s="559" t="s">
        <v>405</v>
      </c>
      <c r="H272" s="548" t="s">
        <v>28</v>
      </c>
      <c r="I272" s="548" t="s">
        <v>487</v>
      </c>
      <c r="J272" s="548" t="s">
        <v>488</v>
      </c>
      <c r="K272" s="560">
        <v>5417.5107086035978</v>
      </c>
      <c r="L272" s="561">
        <v>35.9</v>
      </c>
      <c r="M272" s="552">
        <f t="shared" si="20"/>
        <v>150.90559076890244</v>
      </c>
      <c r="N272" s="562">
        <v>60</v>
      </c>
      <c r="O272" s="563">
        <f t="shared" si="21"/>
        <v>90.291845143393303</v>
      </c>
      <c r="P272" s="564">
        <f t="shared" ca="1" si="22"/>
        <v>196</v>
      </c>
      <c r="Q272" s="552">
        <f t="shared" ca="1" si="23"/>
        <v>-12279.690939501492</v>
      </c>
      <c r="R272" s="563">
        <f t="shared" ca="1" si="24"/>
        <v>1</v>
      </c>
      <c r="S272" s="565" t="s">
        <v>459</v>
      </c>
    </row>
    <row r="273" spans="1:19" ht="42.75" customHeight="1" x14ac:dyDescent="0.25">
      <c r="B273" s="859">
        <v>39962</v>
      </c>
      <c r="C273" s="558" t="s">
        <v>2349</v>
      </c>
      <c r="D273" s="558"/>
      <c r="E273" s="565" t="s">
        <v>455</v>
      </c>
      <c r="F273" s="548" t="s">
        <v>502</v>
      </c>
      <c r="G273" s="559" t="s">
        <v>405</v>
      </c>
      <c r="H273" s="548" t="s">
        <v>28</v>
      </c>
      <c r="I273" s="548" t="s">
        <v>67</v>
      </c>
      <c r="J273" s="548" t="s">
        <v>497</v>
      </c>
      <c r="K273" s="560">
        <v>5417.5107086035978</v>
      </c>
      <c r="L273" s="561">
        <v>35.9</v>
      </c>
      <c r="M273" s="552">
        <f t="shared" si="20"/>
        <v>150.90559076890244</v>
      </c>
      <c r="N273" s="562">
        <v>60</v>
      </c>
      <c r="O273" s="563">
        <f t="shared" si="21"/>
        <v>90.291845143393303</v>
      </c>
      <c r="P273" s="564">
        <f t="shared" ca="1" si="22"/>
        <v>196</v>
      </c>
      <c r="Q273" s="552">
        <f t="shared" ca="1" si="23"/>
        <v>-12279.690939501492</v>
      </c>
      <c r="R273" s="563">
        <f t="shared" ca="1" si="24"/>
        <v>1</v>
      </c>
      <c r="S273" s="565" t="s">
        <v>459</v>
      </c>
    </row>
    <row r="274" spans="1:19" ht="39.950000000000003" customHeight="1" x14ac:dyDescent="0.25">
      <c r="B274" s="859">
        <v>39962</v>
      </c>
      <c r="C274" s="558" t="s">
        <v>2349</v>
      </c>
      <c r="D274" s="558"/>
      <c r="E274" s="565" t="s">
        <v>455</v>
      </c>
      <c r="F274" s="548" t="s">
        <v>503</v>
      </c>
      <c r="G274" s="559" t="s">
        <v>405</v>
      </c>
      <c r="H274" s="548" t="s">
        <v>28</v>
      </c>
      <c r="I274" s="548" t="s">
        <v>67</v>
      </c>
      <c r="J274" s="548" t="s">
        <v>497</v>
      </c>
      <c r="K274" s="560">
        <v>5417.5107086035978</v>
      </c>
      <c r="L274" s="561">
        <v>35.9</v>
      </c>
      <c r="M274" s="552">
        <f t="shared" si="20"/>
        <v>150.90559076890244</v>
      </c>
      <c r="N274" s="562">
        <v>60</v>
      </c>
      <c r="O274" s="563">
        <f t="shared" si="21"/>
        <v>90.291845143393303</v>
      </c>
      <c r="P274" s="564">
        <f t="shared" ca="1" si="22"/>
        <v>196</v>
      </c>
      <c r="Q274" s="552">
        <f t="shared" ca="1" si="23"/>
        <v>-12279.690939501492</v>
      </c>
      <c r="R274" s="563">
        <f t="shared" ca="1" si="24"/>
        <v>1</v>
      </c>
      <c r="S274" s="565" t="s">
        <v>459</v>
      </c>
    </row>
    <row r="275" spans="1:19" ht="39.950000000000003" customHeight="1" x14ac:dyDescent="0.25">
      <c r="B275" s="859">
        <v>39962</v>
      </c>
      <c r="C275" s="558" t="s">
        <v>2349</v>
      </c>
      <c r="D275" s="558"/>
      <c r="E275" s="565" t="s">
        <v>455</v>
      </c>
      <c r="F275" s="548" t="s">
        <v>504</v>
      </c>
      <c r="G275" s="559" t="s">
        <v>405</v>
      </c>
      <c r="H275" s="548" t="s">
        <v>28</v>
      </c>
      <c r="I275" s="548" t="s">
        <v>67</v>
      </c>
      <c r="J275" s="548" t="s">
        <v>497</v>
      </c>
      <c r="K275" s="560">
        <v>5417.5107086035978</v>
      </c>
      <c r="L275" s="561">
        <v>35.9</v>
      </c>
      <c r="M275" s="552">
        <f t="shared" si="20"/>
        <v>150.90559076890244</v>
      </c>
      <c r="N275" s="562">
        <v>60</v>
      </c>
      <c r="O275" s="563">
        <f t="shared" si="21"/>
        <v>90.291845143393303</v>
      </c>
      <c r="P275" s="564">
        <f t="shared" ca="1" si="22"/>
        <v>196</v>
      </c>
      <c r="Q275" s="552">
        <f t="shared" ca="1" si="23"/>
        <v>-12279.690939501492</v>
      </c>
      <c r="R275" s="563">
        <f t="shared" ca="1" si="24"/>
        <v>1</v>
      </c>
      <c r="S275" s="565" t="s">
        <v>459</v>
      </c>
    </row>
    <row r="276" spans="1:19" ht="39.950000000000003" customHeight="1" x14ac:dyDescent="0.25">
      <c r="B276" s="859">
        <v>39962</v>
      </c>
      <c r="C276" s="558" t="s">
        <v>2349</v>
      </c>
      <c r="D276" s="558"/>
      <c r="E276" s="565" t="s">
        <v>455</v>
      </c>
      <c r="F276" s="548" t="s">
        <v>492</v>
      </c>
      <c r="G276" s="559" t="s">
        <v>493</v>
      </c>
      <c r="H276" s="548" t="s">
        <v>28</v>
      </c>
      <c r="I276" s="548" t="s">
        <v>487</v>
      </c>
      <c r="J276" s="548" t="s">
        <v>488</v>
      </c>
      <c r="K276" s="560">
        <v>5239.8874066821691</v>
      </c>
      <c r="L276" s="561">
        <v>35.9</v>
      </c>
      <c r="M276" s="552">
        <f t="shared" si="20"/>
        <v>145.95786648139747</v>
      </c>
      <c r="N276" s="562">
        <v>60</v>
      </c>
      <c r="O276" s="563">
        <f t="shared" si="21"/>
        <v>87.331456778036156</v>
      </c>
      <c r="P276" s="564">
        <f t="shared" ca="1" si="22"/>
        <v>196</v>
      </c>
      <c r="Q276" s="552">
        <f t="shared" ca="1" si="23"/>
        <v>-11877.078121812916</v>
      </c>
      <c r="R276" s="563">
        <f t="shared" ca="1" si="24"/>
        <v>1</v>
      </c>
      <c r="S276" s="565" t="s">
        <v>459</v>
      </c>
    </row>
    <row r="277" spans="1:19" ht="39.950000000000003" customHeight="1" x14ac:dyDescent="0.25">
      <c r="B277" s="859">
        <v>39962</v>
      </c>
      <c r="C277" s="558" t="s">
        <v>2349</v>
      </c>
      <c r="D277" s="558"/>
      <c r="E277" s="565" t="s">
        <v>455</v>
      </c>
      <c r="F277" s="548" t="s">
        <v>500</v>
      </c>
      <c r="G277" s="559" t="s">
        <v>493</v>
      </c>
      <c r="H277" s="548" t="s">
        <v>28</v>
      </c>
      <c r="I277" s="548" t="s">
        <v>67</v>
      </c>
      <c r="J277" s="548" t="s">
        <v>497</v>
      </c>
      <c r="K277" s="560">
        <v>5239.8874066821691</v>
      </c>
      <c r="L277" s="561">
        <v>35.9</v>
      </c>
      <c r="M277" s="552">
        <f t="shared" si="20"/>
        <v>145.95786648139747</v>
      </c>
      <c r="N277" s="562">
        <v>60</v>
      </c>
      <c r="O277" s="563">
        <f t="shared" si="21"/>
        <v>87.331456778036156</v>
      </c>
      <c r="P277" s="564">
        <f t="shared" ca="1" si="22"/>
        <v>196</v>
      </c>
      <c r="Q277" s="552">
        <f t="shared" ca="1" si="23"/>
        <v>-11877.078121812916</v>
      </c>
      <c r="R277" s="563">
        <f t="shared" ca="1" si="24"/>
        <v>1</v>
      </c>
      <c r="S277" s="565" t="s">
        <v>459</v>
      </c>
    </row>
    <row r="278" spans="1:19" ht="39.950000000000003" customHeight="1" x14ac:dyDescent="0.25">
      <c r="B278" s="859">
        <v>39962</v>
      </c>
      <c r="C278" s="558" t="s">
        <v>2349</v>
      </c>
      <c r="D278" s="558"/>
      <c r="E278" s="565" t="s">
        <v>455</v>
      </c>
      <c r="F278" s="548" t="s">
        <v>501</v>
      </c>
      <c r="G278" s="559" t="s">
        <v>493</v>
      </c>
      <c r="H278" s="548" t="s">
        <v>28</v>
      </c>
      <c r="I278" s="548" t="s">
        <v>67</v>
      </c>
      <c r="J278" s="548" t="s">
        <v>497</v>
      </c>
      <c r="K278" s="560">
        <v>5239.8874066821691</v>
      </c>
      <c r="L278" s="561">
        <v>35.9</v>
      </c>
      <c r="M278" s="552">
        <f t="shared" si="20"/>
        <v>145.95786648139747</v>
      </c>
      <c r="N278" s="562">
        <v>60</v>
      </c>
      <c r="O278" s="563">
        <f t="shared" si="21"/>
        <v>87.331456778036156</v>
      </c>
      <c r="P278" s="564">
        <f t="shared" ca="1" si="22"/>
        <v>196</v>
      </c>
      <c r="Q278" s="552">
        <f t="shared" ca="1" si="23"/>
        <v>-11877.078121812916</v>
      </c>
      <c r="R278" s="563">
        <f t="shared" ca="1" si="24"/>
        <v>1</v>
      </c>
      <c r="S278" s="565" t="s">
        <v>459</v>
      </c>
    </row>
    <row r="279" spans="1:19" ht="39.950000000000003" customHeight="1" x14ac:dyDescent="0.25">
      <c r="B279" s="859">
        <v>39962</v>
      </c>
      <c r="C279" s="558" t="s">
        <v>2349</v>
      </c>
      <c r="D279" s="558"/>
      <c r="E279" s="565" t="s">
        <v>463</v>
      </c>
      <c r="F279" s="548" t="s">
        <v>464</v>
      </c>
      <c r="G279" s="559" t="s">
        <v>465</v>
      </c>
      <c r="H279" s="548" t="s">
        <v>28</v>
      </c>
      <c r="I279" s="548" t="s">
        <v>466</v>
      </c>
      <c r="J279" s="548" t="s">
        <v>467</v>
      </c>
      <c r="K279" s="560">
        <v>5400</v>
      </c>
      <c r="L279" s="561">
        <v>35.9</v>
      </c>
      <c r="M279" s="552">
        <f t="shared" si="20"/>
        <v>150.41782729805016</v>
      </c>
      <c r="N279" s="562">
        <v>60</v>
      </c>
      <c r="O279" s="563">
        <f t="shared" si="21"/>
        <v>90</v>
      </c>
      <c r="P279" s="564">
        <f t="shared" ca="1" si="22"/>
        <v>196</v>
      </c>
      <c r="Q279" s="552">
        <f t="shared" ca="1" si="23"/>
        <v>-12240</v>
      </c>
      <c r="R279" s="563">
        <f t="shared" ca="1" si="24"/>
        <v>1</v>
      </c>
      <c r="S279" s="565" t="s">
        <v>445</v>
      </c>
    </row>
    <row r="280" spans="1:19" ht="39.950000000000003" customHeight="1" x14ac:dyDescent="0.25">
      <c r="B280" s="859">
        <v>39962</v>
      </c>
      <c r="C280" s="558" t="s">
        <v>2349</v>
      </c>
      <c r="D280" s="558"/>
      <c r="E280" s="565" t="s">
        <v>463</v>
      </c>
      <c r="F280" s="548" t="s">
        <v>476</v>
      </c>
      <c r="G280" s="559" t="s">
        <v>465</v>
      </c>
      <c r="H280" s="548" t="s">
        <v>28</v>
      </c>
      <c r="I280" s="569" t="s">
        <v>477</v>
      </c>
      <c r="J280" s="548" t="s">
        <v>478</v>
      </c>
      <c r="K280" s="560">
        <v>5400</v>
      </c>
      <c r="L280" s="561">
        <v>35.9</v>
      </c>
      <c r="M280" s="552">
        <f t="shared" si="20"/>
        <v>150.41782729805016</v>
      </c>
      <c r="N280" s="562">
        <v>60</v>
      </c>
      <c r="O280" s="563">
        <f t="shared" si="21"/>
        <v>90</v>
      </c>
      <c r="P280" s="564">
        <f t="shared" ca="1" si="22"/>
        <v>196</v>
      </c>
      <c r="Q280" s="552">
        <f t="shared" ca="1" si="23"/>
        <v>-12240</v>
      </c>
      <c r="R280" s="563">
        <f t="shared" ca="1" si="24"/>
        <v>1</v>
      </c>
      <c r="S280" s="565" t="s">
        <v>459</v>
      </c>
    </row>
    <row r="281" spans="1:19" ht="47.25" customHeight="1" x14ac:dyDescent="0.25">
      <c r="B281" s="859">
        <v>39962</v>
      </c>
      <c r="C281" s="558" t="s">
        <v>2349</v>
      </c>
      <c r="D281" s="558"/>
      <c r="E281" s="565" t="s">
        <v>455</v>
      </c>
      <c r="F281" s="548" t="s">
        <v>479</v>
      </c>
      <c r="G281" s="559" t="s">
        <v>465</v>
      </c>
      <c r="H281" s="548" t="s">
        <v>28</v>
      </c>
      <c r="I281" s="548" t="s">
        <v>480</v>
      </c>
      <c r="J281" s="548" t="s">
        <v>481</v>
      </c>
      <c r="K281" s="560">
        <v>5400</v>
      </c>
      <c r="L281" s="561">
        <v>35.9</v>
      </c>
      <c r="M281" s="552">
        <f t="shared" si="20"/>
        <v>150.41782729805016</v>
      </c>
      <c r="N281" s="562">
        <v>60</v>
      </c>
      <c r="O281" s="563">
        <f t="shared" si="21"/>
        <v>90</v>
      </c>
      <c r="P281" s="564">
        <f t="shared" ca="1" si="22"/>
        <v>196</v>
      </c>
      <c r="Q281" s="552">
        <f t="shared" ca="1" si="23"/>
        <v>-12240</v>
      </c>
      <c r="R281" s="563">
        <f t="shared" ca="1" si="24"/>
        <v>1</v>
      </c>
      <c r="S281" s="565" t="s">
        <v>459</v>
      </c>
    </row>
    <row r="282" spans="1:19" ht="45" customHeight="1" x14ac:dyDescent="0.25">
      <c r="B282" s="859">
        <v>39962</v>
      </c>
      <c r="C282" s="558" t="s">
        <v>2349</v>
      </c>
      <c r="D282" s="558"/>
      <c r="E282" s="565" t="s">
        <v>455</v>
      </c>
      <c r="F282" s="548" t="s">
        <v>486</v>
      </c>
      <c r="G282" s="559" t="s">
        <v>465</v>
      </c>
      <c r="H282" s="548" t="s">
        <v>28</v>
      </c>
      <c r="I282" s="548" t="s">
        <v>487</v>
      </c>
      <c r="J282" s="548" t="s">
        <v>488</v>
      </c>
      <c r="K282" s="560">
        <v>5400</v>
      </c>
      <c r="L282" s="561">
        <v>35.9</v>
      </c>
      <c r="M282" s="552">
        <f t="shared" si="20"/>
        <v>150.41782729805016</v>
      </c>
      <c r="N282" s="562">
        <v>60</v>
      </c>
      <c r="O282" s="563">
        <f t="shared" si="21"/>
        <v>90</v>
      </c>
      <c r="P282" s="564">
        <f t="shared" ca="1" si="22"/>
        <v>196</v>
      </c>
      <c r="Q282" s="552">
        <f t="shared" ca="1" si="23"/>
        <v>-12240</v>
      </c>
      <c r="R282" s="563">
        <f t="shared" ca="1" si="24"/>
        <v>1</v>
      </c>
      <c r="S282" s="565" t="s">
        <v>459</v>
      </c>
    </row>
    <row r="283" spans="1:19" ht="69" customHeight="1" x14ac:dyDescent="0.25">
      <c r="B283" s="859">
        <v>39962</v>
      </c>
      <c r="C283" s="558" t="s">
        <v>2349</v>
      </c>
      <c r="D283" s="558"/>
      <c r="E283" s="565" t="s">
        <v>455</v>
      </c>
      <c r="F283" s="548" t="s">
        <v>489</v>
      </c>
      <c r="G283" s="559" t="s">
        <v>465</v>
      </c>
      <c r="H283" s="548" t="s">
        <v>28</v>
      </c>
      <c r="I283" s="548" t="s">
        <v>487</v>
      </c>
      <c r="J283" s="548" t="s">
        <v>488</v>
      </c>
      <c r="K283" s="560">
        <v>5400</v>
      </c>
      <c r="L283" s="561">
        <v>35.9</v>
      </c>
      <c r="M283" s="552">
        <f t="shared" si="20"/>
        <v>150.41782729805016</v>
      </c>
      <c r="N283" s="562">
        <v>60</v>
      </c>
      <c r="O283" s="563">
        <f t="shared" si="21"/>
        <v>90</v>
      </c>
      <c r="P283" s="564">
        <f t="shared" ca="1" si="22"/>
        <v>196</v>
      </c>
      <c r="Q283" s="552">
        <f t="shared" ca="1" si="23"/>
        <v>-12240</v>
      </c>
      <c r="R283" s="563">
        <f t="shared" ca="1" si="24"/>
        <v>1</v>
      </c>
      <c r="S283" s="565" t="s">
        <v>459</v>
      </c>
    </row>
    <row r="284" spans="1:19" ht="63.75" customHeight="1" x14ac:dyDescent="0.25">
      <c r="B284" s="859">
        <v>39962</v>
      </c>
      <c r="C284" s="558" t="s">
        <v>2349</v>
      </c>
      <c r="D284" s="558"/>
      <c r="E284" s="565" t="s">
        <v>455</v>
      </c>
      <c r="F284" s="548" t="s">
        <v>506</v>
      </c>
      <c r="G284" s="559" t="s">
        <v>465</v>
      </c>
      <c r="H284" s="548" t="s">
        <v>28</v>
      </c>
      <c r="I284" s="548" t="s">
        <v>67</v>
      </c>
      <c r="J284" s="548" t="s">
        <v>507</v>
      </c>
      <c r="K284" s="566">
        <v>5400</v>
      </c>
      <c r="L284" s="561">
        <v>35.9</v>
      </c>
      <c r="M284" s="552">
        <f t="shared" si="20"/>
        <v>150.41782729805016</v>
      </c>
      <c r="N284" s="526">
        <v>60</v>
      </c>
      <c r="O284" s="563">
        <f t="shared" si="21"/>
        <v>90</v>
      </c>
      <c r="P284" s="564">
        <f t="shared" ca="1" si="22"/>
        <v>196</v>
      </c>
      <c r="Q284" s="552">
        <f t="shared" ca="1" si="23"/>
        <v>-12240</v>
      </c>
      <c r="R284" s="563">
        <f t="shared" ca="1" si="24"/>
        <v>1</v>
      </c>
      <c r="S284" s="565" t="s">
        <v>459</v>
      </c>
    </row>
    <row r="285" spans="1:19" ht="60" customHeight="1" x14ac:dyDescent="0.25">
      <c r="B285" s="859">
        <v>39962</v>
      </c>
      <c r="C285" s="558" t="s">
        <v>2349</v>
      </c>
      <c r="D285" s="558"/>
      <c r="E285" s="565" t="s">
        <v>455</v>
      </c>
      <c r="F285" s="548" t="s">
        <v>508</v>
      </c>
      <c r="G285" s="559" t="s">
        <v>465</v>
      </c>
      <c r="H285" s="548" t="s">
        <v>28</v>
      </c>
      <c r="I285" s="548" t="s">
        <v>67</v>
      </c>
      <c r="J285" s="548" t="s">
        <v>507</v>
      </c>
      <c r="K285" s="566">
        <v>5400</v>
      </c>
      <c r="L285" s="561">
        <v>35.9</v>
      </c>
      <c r="M285" s="552">
        <f t="shared" si="20"/>
        <v>150.41782729805016</v>
      </c>
      <c r="N285" s="526">
        <v>60</v>
      </c>
      <c r="O285" s="563">
        <f t="shared" si="21"/>
        <v>90</v>
      </c>
      <c r="P285" s="564">
        <f t="shared" ca="1" si="22"/>
        <v>196</v>
      </c>
      <c r="Q285" s="552">
        <f t="shared" ca="1" si="23"/>
        <v>-12240</v>
      </c>
      <c r="R285" s="563">
        <f t="shared" ca="1" si="24"/>
        <v>1</v>
      </c>
      <c r="S285" s="565" t="s">
        <v>459</v>
      </c>
    </row>
    <row r="286" spans="1:19" ht="60" customHeight="1" x14ac:dyDescent="0.25">
      <c r="B286" s="859">
        <v>39962</v>
      </c>
      <c r="C286" s="558" t="s">
        <v>2349</v>
      </c>
      <c r="D286" s="558"/>
      <c r="E286" s="565" t="s">
        <v>455</v>
      </c>
      <c r="F286" s="548" t="s">
        <v>456</v>
      </c>
      <c r="G286" s="559" t="s">
        <v>372</v>
      </c>
      <c r="H286" s="548" t="s">
        <v>28</v>
      </c>
      <c r="I286" s="548" t="s">
        <v>457</v>
      </c>
      <c r="J286" s="548" t="s">
        <v>458</v>
      </c>
      <c r="K286" s="560">
        <v>3596.8718639089461</v>
      </c>
      <c r="L286" s="561">
        <v>35.9</v>
      </c>
      <c r="M286" s="552">
        <f t="shared" si="20"/>
        <v>100.19141682197622</v>
      </c>
      <c r="N286" s="562">
        <v>60</v>
      </c>
      <c r="O286" s="563">
        <f t="shared" si="21"/>
        <v>59.947864398482437</v>
      </c>
      <c r="P286" s="564">
        <f t="shared" ca="1" si="22"/>
        <v>196</v>
      </c>
      <c r="Q286" s="552">
        <f t="shared" ca="1" si="23"/>
        <v>-8152.9095581936126</v>
      </c>
      <c r="R286" s="563">
        <f t="shared" ca="1" si="24"/>
        <v>1</v>
      </c>
      <c r="S286" s="565" t="s">
        <v>459</v>
      </c>
    </row>
    <row r="287" spans="1:19" ht="60" customHeight="1" x14ac:dyDescent="0.25">
      <c r="A287" s="323"/>
      <c r="B287" s="859">
        <v>39962</v>
      </c>
      <c r="C287" s="558" t="s">
        <v>2349</v>
      </c>
      <c r="D287" s="558"/>
      <c r="E287" s="565" t="s">
        <v>455</v>
      </c>
      <c r="F287" s="548" t="s">
        <v>468</v>
      </c>
      <c r="G287" s="559" t="s">
        <v>372</v>
      </c>
      <c r="H287" s="548" t="s">
        <v>28</v>
      </c>
      <c r="I287" s="548" t="s">
        <v>466</v>
      </c>
      <c r="J287" s="548" t="s">
        <v>467</v>
      </c>
      <c r="K287" s="560">
        <v>3596.8718639089461</v>
      </c>
      <c r="L287" s="561">
        <v>35.9</v>
      </c>
      <c r="M287" s="552">
        <f t="shared" si="20"/>
        <v>100.19141682197622</v>
      </c>
      <c r="N287" s="562">
        <v>60</v>
      </c>
      <c r="O287" s="563">
        <f t="shared" si="21"/>
        <v>59.947864398482437</v>
      </c>
      <c r="P287" s="564">
        <f t="shared" ca="1" si="22"/>
        <v>196</v>
      </c>
      <c r="Q287" s="552">
        <f t="shared" ca="1" si="23"/>
        <v>-8152.9095581936126</v>
      </c>
      <c r="R287" s="563">
        <f t="shared" ca="1" si="24"/>
        <v>1</v>
      </c>
      <c r="S287" s="565" t="s">
        <v>459</v>
      </c>
    </row>
    <row r="288" spans="1:19" ht="60" customHeight="1" x14ac:dyDescent="0.25">
      <c r="B288" s="859">
        <v>39962</v>
      </c>
      <c r="C288" s="558" t="s">
        <v>2349</v>
      </c>
      <c r="D288" s="558"/>
      <c r="E288" s="565" t="s">
        <v>455</v>
      </c>
      <c r="F288" s="548" t="s">
        <v>482</v>
      </c>
      <c r="G288" s="559" t="s">
        <v>372</v>
      </c>
      <c r="H288" s="548" t="s">
        <v>28</v>
      </c>
      <c r="I288" s="548" t="s">
        <v>480</v>
      </c>
      <c r="J288" s="548" t="s">
        <v>481</v>
      </c>
      <c r="K288" s="560">
        <v>3596.8718639089461</v>
      </c>
      <c r="L288" s="561">
        <v>35.9</v>
      </c>
      <c r="M288" s="552">
        <f t="shared" si="20"/>
        <v>100.19141682197622</v>
      </c>
      <c r="N288" s="562">
        <v>60</v>
      </c>
      <c r="O288" s="563">
        <f t="shared" si="21"/>
        <v>59.947864398482437</v>
      </c>
      <c r="P288" s="564">
        <f t="shared" ca="1" si="22"/>
        <v>196</v>
      </c>
      <c r="Q288" s="552">
        <f t="shared" ca="1" si="23"/>
        <v>-8152.9095581936126</v>
      </c>
      <c r="R288" s="563">
        <f t="shared" ca="1" si="24"/>
        <v>1</v>
      </c>
      <c r="S288" s="565" t="s">
        <v>459</v>
      </c>
    </row>
    <row r="289" spans="2:19" ht="68.25" customHeight="1" x14ac:dyDescent="0.25">
      <c r="B289" s="859">
        <v>39962</v>
      </c>
      <c r="C289" s="558" t="s">
        <v>2349</v>
      </c>
      <c r="D289" s="558"/>
      <c r="E289" s="565" t="s">
        <v>455</v>
      </c>
      <c r="F289" s="548" t="s">
        <v>490</v>
      </c>
      <c r="G289" s="559" t="s">
        <v>372</v>
      </c>
      <c r="H289" s="548" t="s">
        <v>28</v>
      </c>
      <c r="I289" s="548" t="s">
        <v>487</v>
      </c>
      <c r="J289" s="548" t="s">
        <v>488</v>
      </c>
      <c r="K289" s="560">
        <v>3596.8718639089461</v>
      </c>
      <c r="L289" s="561">
        <v>35.9</v>
      </c>
      <c r="M289" s="552">
        <f t="shared" si="20"/>
        <v>100.19141682197622</v>
      </c>
      <c r="N289" s="562">
        <v>60</v>
      </c>
      <c r="O289" s="563">
        <f t="shared" si="21"/>
        <v>59.947864398482437</v>
      </c>
      <c r="P289" s="564">
        <f t="shared" ca="1" si="22"/>
        <v>196</v>
      </c>
      <c r="Q289" s="552">
        <f t="shared" ca="1" si="23"/>
        <v>-8152.9095581936126</v>
      </c>
      <c r="R289" s="563">
        <f t="shared" ca="1" si="24"/>
        <v>1</v>
      </c>
      <c r="S289" s="565" t="s">
        <v>459</v>
      </c>
    </row>
    <row r="290" spans="2:19" ht="60" customHeight="1" x14ac:dyDescent="0.25">
      <c r="B290" s="859">
        <v>39962</v>
      </c>
      <c r="C290" s="558" t="s">
        <v>2349</v>
      </c>
      <c r="D290" s="558"/>
      <c r="E290" s="565" t="s">
        <v>455</v>
      </c>
      <c r="F290" s="548" t="s">
        <v>491</v>
      </c>
      <c r="G290" s="559" t="s">
        <v>372</v>
      </c>
      <c r="H290" s="548" t="s">
        <v>28</v>
      </c>
      <c r="I290" s="548" t="s">
        <v>487</v>
      </c>
      <c r="J290" s="548" t="s">
        <v>488</v>
      </c>
      <c r="K290" s="560">
        <v>3596.8718639089461</v>
      </c>
      <c r="L290" s="561">
        <v>35.9</v>
      </c>
      <c r="M290" s="552">
        <f t="shared" si="20"/>
        <v>100.19141682197622</v>
      </c>
      <c r="N290" s="562">
        <v>60</v>
      </c>
      <c r="O290" s="563">
        <f t="shared" si="21"/>
        <v>59.947864398482437</v>
      </c>
      <c r="P290" s="564">
        <f t="shared" ca="1" si="22"/>
        <v>196</v>
      </c>
      <c r="Q290" s="552">
        <f t="shared" ca="1" si="23"/>
        <v>-8152.9095581936126</v>
      </c>
      <c r="R290" s="563">
        <f t="shared" ca="1" si="24"/>
        <v>1</v>
      </c>
      <c r="S290" s="565" t="s">
        <v>459</v>
      </c>
    </row>
    <row r="291" spans="2:19" ht="60" customHeight="1" x14ac:dyDescent="0.25">
      <c r="B291" s="859">
        <v>39962</v>
      </c>
      <c r="C291" s="558" t="s">
        <v>2349</v>
      </c>
      <c r="D291" s="558"/>
      <c r="E291" s="565" t="s">
        <v>455</v>
      </c>
      <c r="F291" s="548" t="s">
        <v>498</v>
      </c>
      <c r="G291" s="559" t="s">
        <v>372</v>
      </c>
      <c r="H291" s="548" t="s">
        <v>28</v>
      </c>
      <c r="I291" s="548" t="s">
        <v>67</v>
      </c>
      <c r="J291" s="548" t="s">
        <v>4395</v>
      </c>
      <c r="K291" s="560">
        <v>3596.8718639089461</v>
      </c>
      <c r="L291" s="561">
        <v>35.9</v>
      </c>
      <c r="M291" s="552">
        <f t="shared" si="20"/>
        <v>100.19141682197622</v>
      </c>
      <c r="N291" s="562">
        <v>60</v>
      </c>
      <c r="O291" s="563">
        <f t="shared" si="21"/>
        <v>59.947864398482437</v>
      </c>
      <c r="P291" s="564">
        <f t="shared" ca="1" si="22"/>
        <v>196</v>
      </c>
      <c r="Q291" s="552">
        <f t="shared" ca="1" si="23"/>
        <v>-8152.9095581936126</v>
      </c>
      <c r="R291" s="563">
        <f t="shared" ca="1" si="24"/>
        <v>1</v>
      </c>
      <c r="S291" s="565" t="s">
        <v>459</v>
      </c>
    </row>
    <row r="292" spans="2:19" ht="60" customHeight="1" x14ac:dyDescent="0.25">
      <c r="B292" s="859">
        <v>39962</v>
      </c>
      <c r="C292" s="558" t="s">
        <v>2349</v>
      </c>
      <c r="D292" s="558"/>
      <c r="E292" s="565" t="s">
        <v>455</v>
      </c>
      <c r="F292" s="548" t="s">
        <v>499</v>
      </c>
      <c r="G292" s="559" t="s">
        <v>372</v>
      </c>
      <c r="H292" s="548" t="s">
        <v>28</v>
      </c>
      <c r="I292" s="548" t="s">
        <v>67</v>
      </c>
      <c r="J292" s="548" t="s">
        <v>497</v>
      </c>
      <c r="K292" s="560">
        <v>3596.8718639089461</v>
      </c>
      <c r="L292" s="561">
        <v>35.9</v>
      </c>
      <c r="M292" s="552">
        <f t="shared" si="20"/>
        <v>100.19141682197622</v>
      </c>
      <c r="N292" s="562">
        <v>60</v>
      </c>
      <c r="O292" s="563">
        <f t="shared" si="21"/>
        <v>59.947864398482437</v>
      </c>
      <c r="P292" s="564">
        <f t="shared" ca="1" si="22"/>
        <v>196</v>
      </c>
      <c r="Q292" s="552">
        <f t="shared" ca="1" si="23"/>
        <v>-8152.9095581936126</v>
      </c>
      <c r="R292" s="563">
        <f t="shared" ca="1" si="24"/>
        <v>1</v>
      </c>
      <c r="S292" s="565" t="s">
        <v>459</v>
      </c>
    </row>
    <row r="293" spans="2:19" ht="39.950000000000003" customHeight="1" x14ac:dyDescent="0.25">
      <c r="B293" s="859">
        <v>40010</v>
      </c>
      <c r="C293" s="558" t="s">
        <v>2349</v>
      </c>
      <c r="D293" s="558"/>
      <c r="E293" s="565" t="s">
        <v>509</v>
      </c>
      <c r="F293" s="548" t="s">
        <v>510</v>
      </c>
      <c r="G293" s="565" t="s">
        <v>511</v>
      </c>
      <c r="H293" s="548" t="s">
        <v>28</v>
      </c>
      <c r="I293" s="548" t="s">
        <v>512</v>
      </c>
      <c r="J293" s="548" t="s">
        <v>513</v>
      </c>
      <c r="K293" s="560">
        <v>18720</v>
      </c>
      <c r="L293" s="561">
        <v>36.07</v>
      </c>
      <c r="M293" s="552">
        <f t="shared" si="20"/>
        <v>518.99085112281671</v>
      </c>
      <c r="N293" s="562">
        <v>60</v>
      </c>
      <c r="O293" s="563">
        <f t="shared" si="21"/>
        <v>312</v>
      </c>
      <c r="P293" s="564">
        <f t="shared" ca="1" si="22"/>
        <v>195</v>
      </c>
      <c r="Q293" s="552">
        <f t="shared" ca="1" si="23"/>
        <v>-42120</v>
      </c>
      <c r="R293" s="563">
        <f t="shared" ca="1" si="24"/>
        <v>1</v>
      </c>
      <c r="S293" s="565" t="s">
        <v>402</v>
      </c>
    </row>
    <row r="294" spans="2:19" ht="39.950000000000003" customHeight="1" x14ac:dyDescent="0.25">
      <c r="B294" s="859">
        <v>40010</v>
      </c>
      <c r="C294" s="558" t="s">
        <v>2349</v>
      </c>
      <c r="D294" s="558"/>
      <c r="E294" s="565" t="s">
        <v>509</v>
      </c>
      <c r="F294" s="548" t="s">
        <v>514</v>
      </c>
      <c r="G294" s="559" t="s">
        <v>511</v>
      </c>
      <c r="H294" s="548" t="s">
        <v>28</v>
      </c>
      <c r="I294" s="548" t="s">
        <v>303</v>
      </c>
      <c r="J294" s="548" t="s">
        <v>4372</v>
      </c>
      <c r="K294" s="560">
        <v>18720</v>
      </c>
      <c r="L294" s="561">
        <v>36.07</v>
      </c>
      <c r="M294" s="552">
        <f t="shared" si="20"/>
        <v>518.99085112281671</v>
      </c>
      <c r="N294" s="562">
        <v>60</v>
      </c>
      <c r="O294" s="563">
        <f t="shared" si="21"/>
        <v>312</v>
      </c>
      <c r="P294" s="564">
        <f t="shared" ca="1" si="22"/>
        <v>195</v>
      </c>
      <c r="Q294" s="552">
        <f t="shared" ca="1" si="23"/>
        <v>-42120</v>
      </c>
      <c r="R294" s="563">
        <f t="shared" ca="1" si="24"/>
        <v>1</v>
      </c>
      <c r="S294" s="565" t="s">
        <v>402</v>
      </c>
    </row>
    <row r="295" spans="2:19" ht="39.950000000000003" customHeight="1" x14ac:dyDescent="0.25">
      <c r="B295" s="859">
        <v>40010</v>
      </c>
      <c r="C295" s="558" t="s">
        <v>2349</v>
      </c>
      <c r="D295" s="558"/>
      <c r="E295" s="565" t="s">
        <v>509</v>
      </c>
      <c r="F295" s="548" t="s">
        <v>515</v>
      </c>
      <c r="G295" s="559" t="s">
        <v>511</v>
      </c>
      <c r="H295" s="548" t="s">
        <v>28</v>
      </c>
      <c r="I295" s="548" t="s">
        <v>303</v>
      </c>
      <c r="J295" s="548" t="s">
        <v>4372</v>
      </c>
      <c r="K295" s="560">
        <v>18720</v>
      </c>
      <c r="L295" s="561">
        <v>36.07</v>
      </c>
      <c r="M295" s="552">
        <f t="shared" si="20"/>
        <v>518.99085112281671</v>
      </c>
      <c r="N295" s="562">
        <v>60</v>
      </c>
      <c r="O295" s="563">
        <f t="shared" si="21"/>
        <v>312</v>
      </c>
      <c r="P295" s="564">
        <f t="shared" ca="1" si="22"/>
        <v>195</v>
      </c>
      <c r="Q295" s="552">
        <f t="shared" ca="1" si="23"/>
        <v>-42120</v>
      </c>
      <c r="R295" s="563">
        <f t="shared" ca="1" si="24"/>
        <v>1</v>
      </c>
      <c r="S295" s="565" t="s">
        <v>402</v>
      </c>
    </row>
    <row r="296" spans="2:19" ht="39.950000000000003" customHeight="1" x14ac:dyDescent="0.25">
      <c r="B296" s="859">
        <v>40010</v>
      </c>
      <c r="C296" s="558" t="s">
        <v>2349</v>
      </c>
      <c r="D296" s="558"/>
      <c r="E296" s="565" t="s">
        <v>509</v>
      </c>
      <c r="F296" s="548" t="s">
        <v>516</v>
      </c>
      <c r="G296" s="559" t="s">
        <v>511</v>
      </c>
      <c r="H296" s="548" t="s">
        <v>28</v>
      </c>
      <c r="I296" s="548" t="s">
        <v>23</v>
      </c>
      <c r="J296" s="548" t="s">
        <v>216</v>
      </c>
      <c r="K296" s="566">
        <v>18720</v>
      </c>
      <c r="L296" s="561">
        <v>36.07</v>
      </c>
      <c r="M296" s="552">
        <f t="shared" si="20"/>
        <v>518.99085112281671</v>
      </c>
      <c r="N296" s="526">
        <v>60</v>
      </c>
      <c r="O296" s="563">
        <f t="shared" si="21"/>
        <v>312</v>
      </c>
      <c r="P296" s="564">
        <f t="shared" ca="1" si="22"/>
        <v>195</v>
      </c>
      <c r="Q296" s="552">
        <f t="shared" ca="1" si="23"/>
        <v>-42120</v>
      </c>
      <c r="R296" s="563">
        <f t="shared" ca="1" si="24"/>
        <v>1</v>
      </c>
      <c r="S296" s="565" t="s">
        <v>402</v>
      </c>
    </row>
    <row r="297" spans="2:19" ht="39.950000000000003" customHeight="1" x14ac:dyDescent="0.25">
      <c r="B297" s="859">
        <v>40010</v>
      </c>
      <c r="C297" s="558" t="s">
        <v>2349</v>
      </c>
      <c r="D297" s="558"/>
      <c r="E297" s="565" t="s">
        <v>509</v>
      </c>
      <c r="F297" s="548" t="s">
        <v>517</v>
      </c>
      <c r="G297" s="559" t="s">
        <v>511</v>
      </c>
      <c r="H297" s="548" t="s">
        <v>28</v>
      </c>
      <c r="I297" s="548" t="s">
        <v>23</v>
      </c>
      <c r="J297" s="548" t="s">
        <v>216</v>
      </c>
      <c r="K297" s="566">
        <v>18720</v>
      </c>
      <c r="L297" s="561">
        <v>36.07</v>
      </c>
      <c r="M297" s="552">
        <f t="shared" si="20"/>
        <v>518.99085112281671</v>
      </c>
      <c r="N297" s="526">
        <v>60</v>
      </c>
      <c r="O297" s="563">
        <f t="shared" si="21"/>
        <v>312</v>
      </c>
      <c r="P297" s="564">
        <f t="shared" ca="1" si="22"/>
        <v>195</v>
      </c>
      <c r="Q297" s="552">
        <f t="shared" ca="1" si="23"/>
        <v>-42120</v>
      </c>
      <c r="R297" s="563">
        <f t="shared" ca="1" si="24"/>
        <v>1</v>
      </c>
      <c r="S297" s="565" t="s">
        <v>402</v>
      </c>
    </row>
    <row r="298" spans="2:19" ht="39.950000000000003" customHeight="1" x14ac:dyDescent="0.25">
      <c r="B298" s="859">
        <v>40010</v>
      </c>
      <c r="C298" s="558" t="s">
        <v>2349</v>
      </c>
      <c r="D298" s="558"/>
      <c r="E298" s="565" t="s">
        <v>509</v>
      </c>
      <c r="F298" s="548" t="s">
        <v>518</v>
      </c>
      <c r="G298" s="559" t="s">
        <v>511</v>
      </c>
      <c r="H298" s="548" t="s">
        <v>28</v>
      </c>
      <c r="I298" s="548" t="s">
        <v>519</v>
      </c>
      <c r="J298" s="548" t="s">
        <v>520</v>
      </c>
      <c r="K298" s="560">
        <v>18720</v>
      </c>
      <c r="L298" s="561">
        <v>36.07</v>
      </c>
      <c r="M298" s="552">
        <f t="shared" si="20"/>
        <v>518.99085112281671</v>
      </c>
      <c r="N298" s="562">
        <v>60</v>
      </c>
      <c r="O298" s="563">
        <f t="shared" si="21"/>
        <v>312</v>
      </c>
      <c r="P298" s="564">
        <f t="shared" ca="1" si="22"/>
        <v>195</v>
      </c>
      <c r="Q298" s="552">
        <f t="shared" ca="1" si="23"/>
        <v>-42120</v>
      </c>
      <c r="R298" s="563">
        <f t="shared" ca="1" si="24"/>
        <v>1</v>
      </c>
      <c r="S298" s="565" t="s">
        <v>402</v>
      </c>
    </row>
    <row r="299" spans="2:19" ht="39.950000000000003" customHeight="1" x14ac:dyDescent="0.25">
      <c r="B299" s="859">
        <v>40023</v>
      </c>
      <c r="C299" s="558" t="s">
        <v>2349</v>
      </c>
      <c r="D299" s="558"/>
      <c r="E299" s="565" t="s">
        <v>521</v>
      </c>
      <c r="F299" s="548" t="s">
        <v>557</v>
      </c>
      <c r="G299" s="559" t="s">
        <v>558</v>
      </c>
      <c r="H299" s="548" t="s">
        <v>28</v>
      </c>
      <c r="I299" s="548" t="s">
        <v>542</v>
      </c>
      <c r="J299" s="548" t="s">
        <v>540</v>
      </c>
      <c r="K299" s="560">
        <v>14500</v>
      </c>
      <c r="L299" s="561">
        <v>35.99</v>
      </c>
      <c r="M299" s="552">
        <f t="shared" si="20"/>
        <v>402.88969158099468</v>
      </c>
      <c r="N299" s="562">
        <v>60</v>
      </c>
      <c r="O299" s="563">
        <f t="shared" si="21"/>
        <v>241.66666666666666</v>
      </c>
      <c r="P299" s="564">
        <f t="shared" ca="1" si="22"/>
        <v>194</v>
      </c>
      <c r="Q299" s="552">
        <f t="shared" ca="1" si="23"/>
        <v>-32383.333333333328</v>
      </c>
      <c r="R299" s="563">
        <f t="shared" ca="1" si="24"/>
        <v>1</v>
      </c>
      <c r="S299" s="565" t="s">
        <v>320</v>
      </c>
    </row>
    <row r="300" spans="2:19" ht="39.950000000000003" customHeight="1" x14ac:dyDescent="0.25">
      <c r="B300" s="859">
        <v>40023</v>
      </c>
      <c r="C300" s="558" t="s">
        <v>2349</v>
      </c>
      <c r="D300" s="558"/>
      <c r="E300" s="565" t="s">
        <v>521</v>
      </c>
      <c r="F300" s="548" t="s">
        <v>555</v>
      </c>
      <c r="G300" s="559" t="s">
        <v>556</v>
      </c>
      <c r="H300" s="548" t="s">
        <v>28</v>
      </c>
      <c r="I300" s="548" t="s">
        <v>542</v>
      </c>
      <c r="J300" s="548" t="s">
        <v>540</v>
      </c>
      <c r="K300" s="560">
        <v>3200</v>
      </c>
      <c r="L300" s="561">
        <v>35.99</v>
      </c>
      <c r="M300" s="552">
        <f t="shared" si="20"/>
        <v>88.913587107529864</v>
      </c>
      <c r="N300" s="562">
        <v>60</v>
      </c>
      <c r="O300" s="563">
        <f t="shared" si="21"/>
        <v>53.333333333333336</v>
      </c>
      <c r="P300" s="564">
        <f t="shared" ca="1" si="22"/>
        <v>194</v>
      </c>
      <c r="Q300" s="552">
        <f t="shared" ca="1" si="23"/>
        <v>-7146.6666666666679</v>
      </c>
      <c r="R300" s="563">
        <f t="shared" ca="1" si="24"/>
        <v>1</v>
      </c>
      <c r="S300" s="565" t="s">
        <v>320</v>
      </c>
    </row>
    <row r="301" spans="2:19" ht="39.950000000000003" customHeight="1" x14ac:dyDescent="0.25">
      <c r="B301" s="859">
        <v>40023</v>
      </c>
      <c r="C301" s="558" t="s">
        <v>2349</v>
      </c>
      <c r="D301" s="558"/>
      <c r="E301" s="565" t="s">
        <v>521</v>
      </c>
      <c r="F301" s="548" t="s">
        <v>531</v>
      </c>
      <c r="G301" s="559" t="s">
        <v>523</v>
      </c>
      <c r="H301" s="548" t="s">
        <v>28</v>
      </c>
      <c r="I301" s="548" t="s">
        <v>526</v>
      </c>
      <c r="J301" s="548" t="s">
        <v>527</v>
      </c>
      <c r="K301" s="560">
        <v>1260</v>
      </c>
      <c r="L301" s="561">
        <v>35.99</v>
      </c>
      <c r="M301" s="552">
        <f t="shared" si="20"/>
        <v>35.009724923589886</v>
      </c>
      <c r="N301" s="562">
        <v>60</v>
      </c>
      <c r="O301" s="563">
        <f t="shared" si="21"/>
        <v>21</v>
      </c>
      <c r="P301" s="564">
        <f t="shared" ca="1" si="22"/>
        <v>194</v>
      </c>
      <c r="Q301" s="552">
        <f t="shared" ca="1" si="23"/>
        <v>-2814</v>
      </c>
      <c r="R301" s="563">
        <f t="shared" ca="1" si="24"/>
        <v>1</v>
      </c>
      <c r="S301" s="565" t="s">
        <v>320</v>
      </c>
    </row>
    <row r="302" spans="2:19" ht="39.950000000000003" customHeight="1" x14ac:dyDescent="0.25">
      <c r="B302" s="859">
        <v>40023</v>
      </c>
      <c r="C302" s="558" t="s">
        <v>2349</v>
      </c>
      <c r="D302" s="558"/>
      <c r="E302" s="565" t="s">
        <v>521</v>
      </c>
      <c r="F302" s="548" t="s">
        <v>532</v>
      </c>
      <c r="G302" s="559" t="s">
        <v>523</v>
      </c>
      <c r="H302" s="548" t="s">
        <v>28</v>
      </c>
      <c r="I302" s="548" t="s">
        <v>526</v>
      </c>
      <c r="J302" s="548" t="s">
        <v>527</v>
      </c>
      <c r="K302" s="560">
        <v>1260</v>
      </c>
      <c r="L302" s="561">
        <v>35.99</v>
      </c>
      <c r="M302" s="552">
        <f t="shared" si="20"/>
        <v>35.009724923589886</v>
      </c>
      <c r="N302" s="562">
        <v>60</v>
      </c>
      <c r="O302" s="563">
        <f t="shared" si="21"/>
        <v>21</v>
      </c>
      <c r="P302" s="564">
        <f t="shared" ca="1" si="22"/>
        <v>194</v>
      </c>
      <c r="Q302" s="552">
        <f t="shared" ca="1" si="23"/>
        <v>-2814</v>
      </c>
      <c r="R302" s="563">
        <f t="shared" ca="1" si="24"/>
        <v>1</v>
      </c>
      <c r="S302" s="565" t="s">
        <v>320</v>
      </c>
    </row>
    <row r="303" spans="2:19" ht="39.950000000000003" customHeight="1" x14ac:dyDescent="0.25">
      <c r="B303" s="859">
        <v>40023</v>
      </c>
      <c r="C303" s="558" t="s">
        <v>2349</v>
      </c>
      <c r="D303" s="558"/>
      <c r="E303" s="565" t="s">
        <v>521</v>
      </c>
      <c r="F303" s="548" t="s">
        <v>533</v>
      </c>
      <c r="G303" s="559" t="s">
        <v>523</v>
      </c>
      <c r="H303" s="548" t="s">
        <v>28</v>
      </c>
      <c r="I303" s="548" t="s">
        <v>526</v>
      </c>
      <c r="J303" s="548" t="s">
        <v>527</v>
      </c>
      <c r="K303" s="560">
        <v>1260</v>
      </c>
      <c r="L303" s="561">
        <v>35.99</v>
      </c>
      <c r="M303" s="552">
        <f t="shared" si="20"/>
        <v>35.009724923589886</v>
      </c>
      <c r="N303" s="562">
        <v>60</v>
      </c>
      <c r="O303" s="563">
        <f t="shared" si="21"/>
        <v>21</v>
      </c>
      <c r="P303" s="564">
        <f t="shared" ca="1" si="22"/>
        <v>194</v>
      </c>
      <c r="Q303" s="552">
        <f t="shared" ca="1" si="23"/>
        <v>-2814</v>
      </c>
      <c r="R303" s="563">
        <f t="shared" ca="1" si="24"/>
        <v>1</v>
      </c>
      <c r="S303" s="565" t="s">
        <v>320</v>
      </c>
    </row>
    <row r="304" spans="2:19" ht="39.950000000000003" customHeight="1" x14ac:dyDescent="0.25">
      <c r="B304" s="859">
        <v>40023</v>
      </c>
      <c r="C304" s="558" t="s">
        <v>2349</v>
      </c>
      <c r="D304" s="558"/>
      <c r="E304" s="565" t="s">
        <v>521</v>
      </c>
      <c r="F304" s="548" t="s">
        <v>534</v>
      </c>
      <c r="G304" s="559" t="s">
        <v>523</v>
      </c>
      <c r="H304" s="548" t="s">
        <v>28</v>
      </c>
      <c r="I304" s="548" t="s">
        <v>526</v>
      </c>
      <c r="J304" s="548" t="s">
        <v>527</v>
      </c>
      <c r="K304" s="560">
        <v>1260</v>
      </c>
      <c r="L304" s="561">
        <v>35.99</v>
      </c>
      <c r="M304" s="552">
        <f t="shared" si="20"/>
        <v>35.009724923589886</v>
      </c>
      <c r="N304" s="562">
        <v>60</v>
      </c>
      <c r="O304" s="563">
        <f t="shared" si="21"/>
        <v>21</v>
      </c>
      <c r="P304" s="564">
        <f t="shared" ca="1" si="22"/>
        <v>194</v>
      </c>
      <c r="Q304" s="552">
        <f t="shared" ca="1" si="23"/>
        <v>-2814</v>
      </c>
      <c r="R304" s="563">
        <f t="shared" ca="1" si="24"/>
        <v>1</v>
      </c>
      <c r="S304" s="565" t="s">
        <v>320</v>
      </c>
    </row>
    <row r="305" spans="2:19" ht="39.950000000000003" customHeight="1" x14ac:dyDescent="0.25">
      <c r="B305" s="859">
        <v>40023</v>
      </c>
      <c r="C305" s="558" t="s">
        <v>2349</v>
      </c>
      <c r="D305" s="558"/>
      <c r="E305" s="565" t="s">
        <v>521</v>
      </c>
      <c r="F305" s="548" t="s">
        <v>535</v>
      </c>
      <c r="G305" s="559" t="s">
        <v>523</v>
      </c>
      <c r="H305" s="548" t="s">
        <v>28</v>
      </c>
      <c r="I305" s="548" t="s">
        <v>526</v>
      </c>
      <c r="J305" s="548" t="s">
        <v>527</v>
      </c>
      <c r="K305" s="560">
        <v>1260</v>
      </c>
      <c r="L305" s="561">
        <v>35.99</v>
      </c>
      <c r="M305" s="552">
        <f t="shared" si="20"/>
        <v>35.009724923589886</v>
      </c>
      <c r="N305" s="562">
        <v>60</v>
      </c>
      <c r="O305" s="563">
        <f t="shared" si="21"/>
        <v>21</v>
      </c>
      <c r="P305" s="564">
        <f t="shared" ca="1" si="22"/>
        <v>194</v>
      </c>
      <c r="Q305" s="552">
        <f t="shared" ca="1" si="23"/>
        <v>-2814</v>
      </c>
      <c r="R305" s="563">
        <f t="shared" ca="1" si="24"/>
        <v>1</v>
      </c>
      <c r="S305" s="565" t="s">
        <v>320</v>
      </c>
    </row>
    <row r="306" spans="2:19" ht="39.950000000000003" customHeight="1" x14ac:dyDescent="0.25">
      <c r="B306" s="859">
        <v>40023</v>
      </c>
      <c r="C306" s="558" t="s">
        <v>2349</v>
      </c>
      <c r="D306" s="558"/>
      <c r="E306" s="565" t="s">
        <v>521</v>
      </c>
      <c r="F306" s="548" t="s">
        <v>536</v>
      </c>
      <c r="G306" s="559" t="s">
        <v>523</v>
      </c>
      <c r="H306" s="548" t="s">
        <v>28</v>
      </c>
      <c r="I306" s="548" t="s">
        <v>526</v>
      </c>
      <c r="J306" s="548" t="s">
        <v>527</v>
      </c>
      <c r="K306" s="560">
        <v>1260</v>
      </c>
      <c r="L306" s="561">
        <v>35.99</v>
      </c>
      <c r="M306" s="552">
        <f t="shared" si="20"/>
        <v>35.009724923589886</v>
      </c>
      <c r="N306" s="562">
        <v>60</v>
      </c>
      <c r="O306" s="563">
        <f t="shared" si="21"/>
        <v>21</v>
      </c>
      <c r="P306" s="564">
        <f t="shared" ca="1" si="22"/>
        <v>194</v>
      </c>
      <c r="Q306" s="552">
        <f t="shared" ca="1" si="23"/>
        <v>-2814</v>
      </c>
      <c r="R306" s="563">
        <f t="shared" ca="1" si="24"/>
        <v>1</v>
      </c>
      <c r="S306" s="565" t="s">
        <v>320</v>
      </c>
    </row>
    <row r="307" spans="2:19" ht="39.950000000000003" customHeight="1" x14ac:dyDescent="0.25">
      <c r="B307" s="859">
        <v>40023</v>
      </c>
      <c r="C307" s="558" t="s">
        <v>2349</v>
      </c>
      <c r="D307" s="558"/>
      <c r="E307" s="565" t="s">
        <v>521</v>
      </c>
      <c r="F307" s="548" t="s">
        <v>537</v>
      </c>
      <c r="G307" s="559" t="s">
        <v>523</v>
      </c>
      <c r="H307" s="548" t="s">
        <v>28</v>
      </c>
      <c r="I307" s="548" t="s">
        <v>526</v>
      </c>
      <c r="J307" s="548" t="s">
        <v>527</v>
      </c>
      <c r="K307" s="560">
        <v>1260</v>
      </c>
      <c r="L307" s="561">
        <v>35.99</v>
      </c>
      <c r="M307" s="552">
        <f t="shared" si="20"/>
        <v>35.009724923589886</v>
      </c>
      <c r="N307" s="562">
        <v>60</v>
      </c>
      <c r="O307" s="563">
        <f t="shared" si="21"/>
        <v>21</v>
      </c>
      <c r="P307" s="564">
        <f t="shared" ca="1" si="22"/>
        <v>194</v>
      </c>
      <c r="Q307" s="552">
        <f t="shared" ca="1" si="23"/>
        <v>-2814</v>
      </c>
      <c r="R307" s="563">
        <f t="shared" ca="1" si="24"/>
        <v>1</v>
      </c>
      <c r="S307" s="565" t="s">
        <v>320</v>
      </c>
    </row>
    <row r="308" spans="2:19" ht="39.950000000000003" customHeight="1" x14ac:dyDescent="0.25">
      <c r="B308" s="859">
        <v>40023</v>
      </c>
      <c r="C308" s="558" t="s">
        <v>2349</v>
      </c>
      <c r="D308" s="558"/>
      <c r="E308" s="565" t="s">
        <v>521</v>
      </c>
      <c r="F308" s="548" t="s">
        <v>538</v>
      </c>
      <c r="G308" s="559" t="s">
        <v>523</v>
      </c>
      <c r="H308" s="548" t="s">
        <v>28</v>
      </c>
      <c r="I308" s="548" t="s">
        <v>526</v>
      </c>
      <c r="J308" s="548" t="s">
        <v>527</v>
      </c>
      <c r="K308" s="560">
        <v>1260</v>
      </c>
      <c r="L308" s="561">
        <v>35.99</v>
      </c>
      <c r="M308" s="552">
        <f t="shared" si="20"/>
        <v>35.009724923589886</v>
      </c>
      <c r="N308" s="562">
        <v>60</v>
      </c>
      <c r="O308" s="563">
        <f t="shared" si="21"/>
        <v>21</v>
      </c>
      <c r="P308" s="564">
        <f t="shared" ca="1" si="22"/>
        <v>194</v>
      </c>
      <c r="Q308" s="552">
        <f t="shared" ca="1" si="23"/>
        <v>-2814</v>
      </c>
      <c r="R308" s="563">
        <f t="shared" ca="1" si="24"/>
        <v>1</v>
      </c>
      <c r="S308" s="565" t="s">
        <v>320</v>
      </c>
    </row>
    <row r="309" spans="2:19" ht="39.950000000000003" customHeight="1" x14ac:dyDescent="0.25">
      <c r="B309" s="859">
        <v>40023</v>
      </c>
      <c r="C309" s="558" t="s">
        <v>2349</v>
      </c>
      <c r="D309" s="558"/>
      <c r="E309" s="565" t="s">
        <v>521</v>
      </c>
      <c r="F309" s="548" t="s">
        <v>551</v>
      </c>
      <c r="G309" s="559" t="s">
        <v>523</v>
      </c>
      <c r="H309" s="548" t="s">
        <v>28</v>
      </c>
      <c r="I309" s="548" t="s">
        <v>542</v>
      </c>
      <c r="J309" s="548" t="s">
        <v>540</v>
      </c>
      <c r="K309" s="560">
        <v>1260</v>
      </c>
      <c r="L309" s="561">
        <v>35.99</v>
      </c>
      <c r="M309" s="552">
        <f t="shared" si="20"/>
        <v>35.009724923589886</v>
      </c>
      <c r="N309" s="562">
        <v>60</v>
      </c>
      <c r="O309" s="563">
        <f t="shared" si="21"/>
        <v>21</v>
      </c>
      <c r="P309" s="564">
        <f t="shared" ca="1" si="22"/>
        <v>194</v>
      </c>
      <c r="Q309" s="552">
        <f t="shared" ca="1" si="23"/>
        <v>-2814</v>
      </c>
      <c r="R309" s="563">
        <f t="shared" ca="1" si="24"/>
        <v>1</v>
      </c>
      <c r="S309" s="565" t="s">
        <v>320</v>
      </c>
    </row>
    <row r="310" spans="2:19" ht="39.950000000000003" customHeight="1" x14ac:dyDescent="0.25">
      <c r="B310" s="859">
        <v>40023</v>
      </c>
      <c r="C310" s="558" t="s">
        <v>2349</v>
      </c>
      <c r="D310" s="558"/>
      <c r="E310" s="565" t="s">
        <v>521</v>
      </c>
      <c r="F310" s="548" t="s">
        <v>552</v>
      </c>
      <c r="G310" s="559" t="s">
        <v>523</v>
      </c>
      <c r="H310" s="548" t="s">
        <v>28</v>
      </c>
      <c r="I310" s="548" t="s">
        <v>542</v>
      </c>
      <c r="J310" s="548" t="s">
        <v>540</v>
      </c>
      <c r="K310" s="560">
        <v>1260</v>
      </c>
      <c r="L310" s="561">
        <v>35.99</v>
      </c>
      <c r="M310" s="552">
        <f t="shared" si="20"/>
        <v>35.009724923589886</v>
      </c>
      <c r="N310" s="562">
        <v>60</v>
      </c>
      <c r="O310" s="563">
        <f t="shared" si="21"/>
        <v>21</v>
      </c>
      <c r="P310" s="564">
        <f t="shared" ca="1" si="22"/>
        <v>194</v>
      </c>
      <c r="Q310" s="552">
        <f t="shared" ca="1" si="23"/>
        <v>-2814</v>
      </c>
      <c r="R310" s="563">
        <f t="shared" ca="1" si="24"/>
        <v>1</v>
      </c>
      <c r="S310" s="565" t="s">
        <v>320</v>
      </c>
    </row>
    <row r="311" spans="2:19" ht="52.5" customHeight="1" x14ac:dyDescent="0.25">
      <c r="B311" s="859">
        <v>40023</v>
      </c>
      <c r="C311" s="558" t="s">
        <v>2349</v>
      </c>
      <c r="D311" s="558"/>
      <c r="E311" s="565" t="s">
        <v>521</v>
      </c>
      <c r="F311" s="548" t="s">
        <v>553</v>
      </c>
      <c r="G311" s="559" t="s">
        <v>523</v>
      </c>
      <c r="H311" s="548" t="s">
        <v>28</v>
      </c>
      <c r="I311" s="548" t="s">
        <v>542</v>
      </c>
      <c r="J311" s="548" t="s">
        <v>540</v>
      </c>
      <c r="K311" s="560">
        <v>1260</v>
      </c>
      <c r="L311" s="561">
        <v>35.99</v>
      </c>
      <c r="M311" s="552">
        <f t="shared" si="20"/>
        <v>35.009724923589886</v>
      </c>
      <c r="N311" s="562">
        <v>60</v>
      </c>
      <c r="O311" s="563">
        <f t="shared" si="21"/>
        <v>21</v>
      </c>
      <c r="P311" s="564">
        <f t="shared" ca="1" si="22"/>
        <v>194</v>
      </c>
      <c r="Q311" s="552">
        <f t="shared" ca="1" si="23"/>
        <v>-2814</v>
      </c>
      <c r="R311" s="563">
        <f t="shared" ca="1" si="24"/>
        <v>1</v>
      </c>
      <c r="S311" s="565" t="s">
        <v>320</v>
      </c>
    </row>
    <row r="312" spans="2:19" ht="39.950000000000003" customHeight="1" x14ac:dyDescent="0.25">
      <c r="B312" s="859">
        <v>40023</v>
      </c>
      <c r="C312" s="558" t="s">
        <v>2349</v>
      </c>
      <c r="D312" s="558"/>
      <c r="E312" s="565" t="s">
        <v>521</v>
      </c>
      <c r="F312" s="548" t="s">
        <v>554</v>
      </c>
      <c r="G312" s="559" t="s">
        <v>523</v>
      </c>
      <c r="H312" s="548" t="s">
        <v>28</v>
      </c>
      <c r="I312" s="548" t="s">
        <v>542</v>
      </c>
      <c r="J312" s="548" t="s">
        <v>540</v>
      </c>
      <c r="K312" s="560">
        <v>1260</v>
      </c>
      <c r="L312" s="561">
        <v>35.99</v>
      </c>
      <c r="M312" s="552">
        <f t="shared" si="20"/>
        <v>35.009724923589886</v>
      </c>
      <c r="N312" s="562">
        <v>60</v>
      </c>
      <c r="O312" s="563">
        <f t="shared" si="21"/>
        <v>21</v>
      </c>
      <c r="P312" s="564">
        <f t="shared" ca="1" si="22"/>
        <v>194</v>
      </c>
      <c r="Q312" s="552">
        <f t="shared" ca="1" si="23"/>
        <v>-2814</v>
      </c>
      <c r="R312" s="563">
        <f t="shared" ca="1" si="24"/>
        <v>1</v>
      </c>
      <c r="S312" s="565" t="s">
        <v>320</v>
      </c>
    </row>
    <row r="313" spans="2:19" ht="39.950000000000003" customHeight="1" x14ac:dyDescent="0.25">
      <c r="B313" s="859">
        <v>40023</v>
      </c>
      <c r="C313" s="558" t="s">
        <v>2349</v>
      </c>
      <c r="D313" s="558"/>
      <c r="E313" s="565" t="s">
        <v>521</v>
      </c>
      <c r="F313" s="548" t="s">
        <v>567</v>
      </c>
      <c r="G313" s="559" t="s">
        <v>523</v>
      </c>
      <c r="H313" s="548" t="s">
        <v>28</v>
      </c>
      <c r="I313" s="548" t="s">
        <v>4379</v>
      </c>
      <c r="J313" s="548" t="s">
        <v>561</v>
      </c>
      <c r="K313" s="560">
        <v>1260</v>
      </c>
      <c r="L313" s="561">
        <v>35.99</v>
      </c>
      <c r="M313" s="552">
        <f t="shared" si="20"/>
        <v>35.009724923589886</v>
      </c>
      <c r="N313" s="562">
        <v>60</v>
      </c>
      <c r="O313" s="563">
        <f t="shared" si="21"/>
        <v>21</v>
      </c>
      <c r="P313" s="564">
        <f t="shared" ca="1" si="22"/>
        <v>194</v>
      </c>
      <c r="Q313" s="552">
        <f t="shared" ca="1" si="23"/>
        <v>-2814</v>
      </c>
      <c r="R313" s="563">
        <f t="shared" ca="1" si="24"/>
        <v>1</v>
      </c>
      <c r="S313" s="565" t="s">
        <v>320</v>
      </c>
    </row>
    <row r="314" spans="2:19" ht="39.950000000000003" customHeight="1" x14ac:dyDescent="0.25">
      <c r="B314" s="859">
        <v>40023</v>
      </c>
      <c r="C314" s="558" t="s">
        <v>2349</v>
      </c>
      <c r="D314" s="558"/>
      <c r="E314" s="565" t="s">
        <v>521</v>
      </c>
      <c r="F314" s="548" t="s">
        <v>568</v>
      </c>
      <c r="G314" s="559" t="s">
        <v>523</v>
      </c>
      <c r="H314" s="548" t="s">
        <v>28</v>
      </c>
      <c r="I314" s="548" t="s">
        <v>4379</v>
      </c>
      <c r="J314" s="548" t="s">
        <v>561</v>
      </c>
      <c r="K314" s="560">
        <v>1260</v>
      </c>
      <c r="L314" s="561">
        <v>35.99</v>
      </c>
      <c r="M314" s="552">
        <f t="shared" si="20"/>
        <v>35.009724923589886</v>
      </c>
      <c r="N314" s="562">
        <v>60</v>
      </c>
      <c r="O314" s="563">
        <f t="shared" si="21"/>
        <v>21</v>
      </c>
      <c r="P314" s="564">
        <f t="shared" ca="1" si="22"/>
        <v>194</v>
      </c>
      <c r="Q314" s="552">
        <f t="shared" ca="1" si="23"/>
        <v>-2814</v>
      </c>
      <c r="R314" s="563">
        <f t="shared" ca="1" si="24"/>
        <v>1</v>
      </c>
      <c r="S314" s="565" t="s">
        <v>320</v>
      </c>
    </row>
    <row r="315" spans="2:19" ht="39.950000000000003" customHeight="1" x14ac:dyDescent="0.25">
      <c r="B315" s="859">
        <v>40023</v>
      </c>
      <c r="C315" s="558" t="s">
        <v>2349</v>
      </c>
      <c r="D315" s="558"/>
      <c r="E315" s="565" t="s">
        <v>521</v>
      </c>
      <c r="F315" s="548" t="s">
        <v>569</v>
      </c>
      <c r="G315" s="559" t="s">
        <v>523</v>
      </c>
      <c r="H315" s="548" t="s">
        <v>28</v>
      </c>
      <c r="I315" s="548" t="s">
        <v>4379</v>
      </c>
      <c r="J315" s="548" t="s">
        <v>561</v>
      </c>
      <c r="K315" s="560">
        <v>1260</v>
      </c>
      <c r="L315" s="561">
        <v>35.99</v>
      </c>
      <c r="M315" s="552">
        <f t="shared" si="20"/>
        <v>35.009724923589886</v>
      </c>
      <c r="N315" s="562">
        <v>60</v>
      </c>
      <c r="O315" s="563">
        <f t="shared" si="21"/>
        <v>21</v>
      </c>
      <c r="P315" s="564">
        <f t="shared" ca="1" si="22"/>
        <v>194</v>
      </c>
      <c r="Q315" s="552">
        <f t="shared" ca="1" si="23"/>
        <v>-2814</v>
      </c>
      <c r="R315" s="563">
        <f t="shared" ca="1" si="24"/>
        <v>1</v>
      </c>
      <c r="S315" s="565" t="s">
        <v>320</v>
      </c>
    </row>
    <row r="316" spans="2:19" ht="39.950000000000003" customHeight="1" x14ac:dyDescent="0.25">
      <c r="B316" s="859">
        <v>40023</v>
      </c>
      <c r="C316" s="558" t="s">
        <v>2349</v>
      </c>
      <c r="D316" s="558"/>
      <c r="E316" s="565" t="s">
        <v>521</v>
      </c>
      <c r="F316" s="548" t="s">
        <v>530</v>
      </c>
      <c r="G316" s="559" t="s">
        <v>407</v>
      </c>
      <c r="H316" s="548" t="s">
        <v>28</v>
      </c>
      <c r="I316" s="548" t="s">
        <v>526</v>
      </c>
      <c r="J316" s="548" t="s">
        <v>527</v>
      </c>
      <c r="K316" s="560">
        <v>5060</v>
      </c>
      <c r="L316" s="561">
        <v>35.99</v>
      </c>
      <c r="M316" s="552">
        <f t="shared" si="20"/>
        <v>140.59460961378159</v>
      </c>
      <c r="N316" s="562">
        <v>60</v>
      </c>
      <c r="O316" s="563">
        <f t="shared" si="21"/>
        <v>84.333333333333329</v>
      </c>
      <c r="P316" s="564">
        <f t="shared" ca="1" si="22"/>
        <v>194</v>
      </c>
      <c r="Q316" s="552">
        <f t="shared" ca="1" si="23"/>
        <v>-11300.666666666666</v>
      </c>
      <c r="R316" s="563">
        <f t="shared" ca="1" si="24"/>
        <v>1</v>
      </c>
      <c r="S316" s="565" t="s">
        <v>320</v>
      </c>
    </row>
    <row r="317" spans="2:19" ht="39.950000000000003" customHeight="1" x14ac:dyDescent="0.25">
      <c r="B317" s="859">
        <v>40023</v>
      </c>
      <c r="C317" s="558" t="s">
        <v>2349</v>
      </c>
      <c r="D317" s="558"/>
      <c r="E317" s="565" t="s">
        <v>521</v>
      </c>
      <c r="F317" s="548" t="s">
        <v>550</v>
      </c>
      <c r="G317" s="559" t="s">
        <v>407</v>
      </c>
      <c r="H317" s="548" t="s">
        <v>28</v>
      </c>
      <c r="I317" s="548" t="s">
        <v>542</v>
      </c>
      <c r="J317" s="548" t="s">
        <v>540</v>
      </c>
      <c r="K317" s="560">
        <v>5060</v>
      </c>
      <c r="L317" s="561">
        <v>35.99</v>
      </c>
      <c r="M317" s="552">
        <f t="shared" si="20"/>
        <v>140.59460961378159</v>
      </c>
      <c r="N317" s="562">
        <v>60</v>
      </c>
      <c r="O317" s="563">
        <f t="shared" si="21"/>
        <v>84.333333333333329</v>
      </c>
      <c r="P317" s="564">
        <f t="shared" ca="1" si="22"/>
        <v>194</v>
      </c>
      <c r="Q317" s="552">
        <f t="shared" ca="1" si="23"/>
        <v>-11300.666666666666</v>
      </c>
      <c r="R317" s="563">
        <f t="shared" ca="1" si="24"/>
        <v>1</v>
      </c>
      <c r="S317" s="565" t="s">
        <v>320</v>
      </c>
    </row>
    <row r="318" spans="2:19" ht="39.950000000000003" customHeight="1" x14ac:dyDescent="0.25">
      <c r="B318" s="859">
        <v>40023</v>
      </c>
      <c r="C318" s="558" t="s">
        <v>2349</v>
      </c>
      <c r="D318" s="558"/>
      <c r="E318" s="565" t="s">
        <v>521</v>
      </c>
      <c r="F318" s="548" t="s">
        <v>566</v>
      </c>
      <c r="G318" s="559" t="s">
        <v>407</v>
      </c>
      <c r="H318" s="548" t="s">
        <v>28</v>
      </c>
      <c r="I318" s="548" t="s">
        <v>4379</v>
      </c>
      <c r="J318" s="548" t="s">
        <v>561</v>
      </c>
      <c r="K318" s="560">
        <v>5060</v>
      </c>
      <c r="L318" s="561">
        <v>35.99</v>
      </c>
      <c r="M318" s="552">
        <f t="shared" si="20"/>
        <v>140.59460961378159</v>
      </c>
      <c r="N318" s="562">
        <v>60</v>
      </c>
      <c r="O318" s="563">
        <f t="shared" si="21"/>
        <v>84.333333333333329</v>
      </c>
      <c r="P318" s="564">
        <f t="shared" ca="1" si="22"/>
        <v>194</v>
      </c>
      <c r="Q318" s="552">
        <f t="shared" ca="1" si="23"/>
        <v>-11300.666666666666</v>
      </c>
      <c r="R318" s="563">
        <f t="shared" ca="1" si="24"/>
        <v>1</v>
      </c>
      <c r="S318" s="565" t="s">
        <v>320</v>
      </c>
    </row>
    <row r="319" spans="2:19" ht="39.950000000000003" customHeight="1" x14ac:dyDescent="0.25">
      <c r="B319" s="859">
        <v>40023</v>
      </c>
      <c r="C319" s="558" t="s">
        <v>2349</v>
      </c>
      <c r="D319" s="558"/>
      <c r="E319" s="565" t="s">
        <v>521</v>
      </c>
      <c r="F319" s="548" t="s">
        <v>529</v>
      </c>
      <c r="G319" s="559" t="s">
        <v>522</v>
      </c>
      <c r="H319" s="548" t="s">
        <v>28</v>
      </c>
      <c r="I319" s="548" t="s">
        <v>526</v>
      </c>
      <c r="J319" s="548" t="s">
        <v>527</v>
      </c>
      <c r="K319" s="560">
        <v>16905</v>
      </c>
      <c r="L319" s="561">
        <v>35.99</v>
      </c>
      <c r="M319" s="552">
        <f t="shared" si="20"/>
        <v>469.71380939149759</v>
      </c>
      <c r="N319" s="562">
        <v>60</v>
      </c>
      <c r="O319" s="563">
        <f t="shared" si="21"/>
        <v>281.75</v>
      </c>
      <c r="P319" s="564">
        <f t="shared" ca="1" si="22"/>
        <v>194</v>
      </c>
      <c r="Q319" s="552">
        <f t="shared" ca="1" si="23"/>
        <v>-37754.5</v>
      </c>
      <c r="R319" s="563">
        <f t="shared" ca="1" si="24"/>
        <v>1</v>
      </c>
      <c r="S319" s="565" t="s">
        <v>320</v>
      </c>
    </row>
    <row r="320" spans="2:19" ht="39.950000000000003" customHeight="1" x14ac:dyDescent="0.25">
      <c r="B320" s="859">
        <v>40023</v>
      </c>
      <c r="C320" s="558" t="s">
        <v>2349</v>
      </c>
      <c r="D320" s="558"/>
      <c r="E320" s="565" t="s">
        <v>521</v>
      </c>
      <c r="F320" s="548" t="s">
        <v>565</v>
      </c>
      <c r="G320" s="559" t="s">
        <v>522</v>
      </c>
      <c r="H320" s="548" t="s">
        <v>28</v>
      </c>
      <c r="I320" s="548" t="s">
        <v>4379</v>
      </c>
      <c r="J320" s="548" t="s">
        <v>561</v>
      </c>
      <c r="K320" s="560">
        <v>16905</v>
      </c>
      <c r="L320" s="561">
        <v>35.99</v>
      </c>
      <c r="M320" s="552">
        <f t="shared" si="20"/>
        <v>469.71380939149759</v>
      </c>
      <c r="N320" s="562">
        <v>60</v>
      </c>
      <c r="O320" s="563">
        <f t="shared" si="21"/>
        <v>281.75</v>
      </c>
      <c r="P320" s="564">
        <f t="shared" ca="1" si="22"/>
        <v>194</v>
      </c>
      <c r="Q320" s="552">
        <f t="shared" ca="1" si="23"/>
        <v>-37754.5</v>
      </c>
      <c r="R320" s="563">
        <f t="shared" ca="1" si="24"/>
        <v>1</v>
      </c>
      <c r="S320" s="565" t="s">
        <v>320</v>
      </c>
    </row>
    <row r="321" spans="2:19" ht="39.950000000000003" customHeight="1" x14ac:dyDescent="0.25">
      <c r="B321" s="859">
        <v>40023</v>
      </c>
      <c r="C321" s="558" t="s">
        <v>2349</v>
      </c>
      <c r="D321" s="558"/>
      <c r="E321" s="565" t="s">
        <v>521</v>
      </c>
      <c r="F321" s="548" t="s">
        <v>549</v>
      </c>
      <c r="G321" s="559" t="s">
        <v>405</v>
      </c>
      <c r="H321" s="548" t="s">
        <v>28</v>
      </c>
      <c r="I321" s="548" t="s">
        <v>542</v>
      </c>
      <c r="J321" s="548" t="s">
        <v>540</v>
      </c>
      <c r="K321" s="560">
        <v>5440</v>
      </c>
      <c r="L321" s="561">
        <v>35.99</v>
      </c>
      <c r="M321" s="552">
        <f t="shared" si="20"/>
        <v>151.15309808280077</v>
      </c>
      <c r="N321" s="562">
        <v>60</v>
      </c>
      <c r="O321" s="563">
        <f t="shared" si="21"/>
        <v>90.666666666666671</v>
      </c>
      <c r="P321" s="564">
        <f t="shared" ca="1" si="22"/>
        <v>194</v>
      </c>
      <c r="Q321" s="552">
        <f t="shared" ca="1" si="23"/>
        <v>-12149.333333333336</v>
      </c>
      <c r="R321" s="563">
        <f t="shared" ca="1" si="24"/>
        <v>1</v>
      </c>
      <c r="S321" s="565" t="s">
        <v>320</v>
      </c>
    </row>
    <row r="322" spans="2:19" ht="39.950000000000003" customHeight="1" x14ac:dyDescent="0.25">
      <c r="B322" s="859">
        <v>40023</v>
      </c>
      <c r="C322" s="558" t="s">
        <v>2349</v>
      </c>
      <c r="D322" s="558"/>
      <c r="E322" s="565" t="s">
        <v>521</v>
      </c>
      <c r="F322" s="548" t="s">
        <v>547</v>
      </c>
      <c r="G322" s="559" t="s">
        <v>548</v>
      </c>
      <c r="H322" s="548" t="s">
        <v>28</v>
      </c>
      <c r="I322" s="548" t="s">
        <v>542</v>
      </c>
      <c r="J322" s="548" t="s">
        <v>540</v>
      </c>
      <c r="K322" s="560">
        <v>10700</v>
      </c>
      <c r="L322" s="561">
        <v>35.99</v>
      </c>
      <c r="M322" s="552">
        <f t="shared" si="20"/>
        <v>297.30480689080298</v>
      </c>
      <c r="N322" s="562">
        <v>60</v>
      </c>
      <c r="O322" s="563">
        <f t="shared" si="21"/>
        <v>178.33333333333334</v>
      </c>
      <c r="P322" s="564">
        <f t="shared" ca="1" si="22"/>
        <v>194</v>
      </c>
      <c r="Q322" s="552">
        <f t="shared" ca="1" si="23"/>
        <v>-23896.666666666672</v>
      </c>
      <c r="R322" s="563">
        <f t="shared" ca="1" si="24"/>
        <v>1</v>
      </c>
      <c r="S322" s="565" t="s">
        <v>320</v>
      </c>
    </row>
    <row r="323" spans="2:19" ht="39.950000000000003" customHeight="1" x14ac:dyDescent="0.25">
      <c r="B323" s="859">
        <v>40023</v>
      </c>
      <c r="C323" s="558" t="s">
        <v>2349</v>
      </c>
      <c r="D323" s="558"/>
      <c r="E323" s="565" t="s">
        <v>521</v>
      </c>
      <c r="F323" s="548" t="s">
        <v>546</v>
      </c>
      <c r="G323" s="559" t="s">
        <v>465</v>
      </c>
      <c r="H323" s="548" t="s">
        <v>28</v>
      </c>
      <c r="I323" s="548" t="s">
        <v>542</v>
      </c>
      <c r="J323" s="548" t="s">
        <v>540</v>
      </c>
      <c r="K323" s="560">
        <v>13500</v>
      </c>
      <c r="L323" s="561">
        <v>35.99</v>
      </c>
      <c r="M323" s="552">
        <f t="shared" si="20"/>
        <v>375.10419560989163</v>
      </c>
      <c r="N323" s="562">
        <v>60</v>
      </c>
      <c r="O323" s="563">
        <f t="shared" si="21"/>
        <v>225</v>
      </c>
      <c r="P323" s="564">
        <f t="shared" ca="1" si="22"/>
        <v>194</v>
      </c>
      <c r="Q323" s="552">
        <f t="shared" ca="1" si="23"/>
        <v>-30150</v>
      </c>
      <c r="R323" s="563">
        <f t="shared" ca="1" si="24"/>
        <v>1</v>
      </c>
      <c r="S323" s="565" t="s">
        <v>320</v>
      </c>
    </row>
    <row r="324" spans="2:19" ht="39.950000000000003" customHeight="1" x14ac:dyDescent="0.25">
      <c r="B324" s="859">
        <v>40023</v>
      </c>
      <c r="C324" s="558" t="s">
        <v>2349</v>
      </c>
      <c r="D324" s="558"/>
      <c r="E324" s="565" t="s">
        <v>521</v>
      </c>
      <c r="F324" s="548" t="s">
        <v>545</v>
      </c>
      <c r="G324" s="559" t="s">
        <v>372</v>
      </c>
      <c r="H324" s="548" t="s">
        <v>28</v>
      </c>
      <c r="I324" s="548" t="s">
        <v>542</v>
      </c>
      <c r="J324" s="548" t="s">
        <v>540</v>
      </c>
      <c r="K324" s="560">
        <v>4135</v>
      </c>
      <c r="L324" s="561">
        <v>35.99</v>
      </c>
      <c r="M324" s="552">
        <f t="shared" si="20"/>
        <v>114.89302584051124</v>
      </c>
      <c r="N324" s="562">
        <v>60</v>
      </c>
      <c r="O324" s="563">
        <f t="shared" si="21"/>
        <v>68.916666666666671</v>
      </c>
      <c r="P324" s="564">
        <f t="shared" ca="1" si="22"/>
        <v>194</v>
      </c>
      <c r="Q324" s="552">
        <f t="shared" ca="1" si="23"/>
        <v>-9234.8333333333339</v>
      </c>
      <c r="R324" s="563">
        <f t="shared" ca="1" si="24"/>
        <v>1</v>
      </c>
      <c r="S324" s="565" t="s">
        <v>320</v>
      </c>
    </row>
    <row r="325" spans="2:19" ht="39.950000000000003" customHeight="1" x14ac:dyDescent="0.25">
      <c r="B325" s="859">
        <v>40023</v>
      </c>
      <c r="C325" s="558" t="s">
        <v>2349</v>
      </c>
      <c r="D325" s="558"/>
      <c r="E325" s="565" t="s">
        <v>521</v>
      </c>
      <c r="F325" s="548" t="s">
        <v>528</v>
      </c>
      <c r="G325" s="559" t="s">
        <v>307</v>
      </c>
      <c r="H325" s="548" t="s">
        <v>28</v>
      </c>
      <c r="I325" s="548" t="s">
        <v>526</v>
      </c>
      <c r="J325" s="548" t="s">
        <v>527</v>
      </c>
      <c r="K325" s="560">
        <v>9000</v>
      </c>
      <c r="L325" s="561">
        <v>35.99</v>
      </c>
      <c r="M325" s="552">
        <f t="shared" si="20"/>
        <v>250.06946373992776</v>
      </c>
      <c r="N325" s="562">
        <v>60</v>
      </c>
      <c r="O325" s="563">
        <f t="shared" si="21"/>
        <v>150</v>
      </c>
      <c r="P325" s="564">
        <f t="shared" ca="1" si="22"/>
        <v>194</v>
      </c>
      <c r="Q325" s="552">
        <f t="shared" ca="1" si="23"/>
        <v>-20100</v>
      </c>
      <c r="R325" s="563">
        <f t="shared" ca="1" si="24"/>
        <v>1</v>
      </c>
      <c r="S325" s="565" t="s">
        <v>320</v>
      </c>
    </row>
    <row r="326" spans="2:19" ht="39.950000000000003" customHeight="1" x14ac:dyDescent="0.25">
      <c r="B326" s="859">
        <v>40023</v>
      </c>
      <c r="C326" s="558" t="s">
        <v>2349</v>
      </c>
      <c r="D326" s="558"/>
      <c r="E326" s="565" t="s">
        <v>521</v>
      </c>
      <c r="F326" s="548" t="s">
        <v>543</v>
      </c>
      <c r="G326" s="559" t="s">
        <v>307</v>
      </c>
      <c r="H326" s="548" t="s">
        <v>28</v>
      </c>
      <c r="I326" s="548" t="s">
        <v>542</v>
      </c>
      <c r="J326" s="548" t="s">
        <v>540</v>
      </c>
      <c r="K326" s="560">
        <v>9000</v>
      </c>
      <c r="L326" s="561">
        <v>35.99</v>
      </c>
      <c r="M326" s="552">
        <f t="shared" si="20"/>
        <v>250.06946373992776</v>
      </c>
      <c r="N326" s="562">
        <v>60</v>
      </c>
      <c r="O326" s="563">
        <f t="shared" si="21"/>
        <v>150</v>
      </c>
      <c r="P326" s="564">
        <f t="shared" ca="1" si="22"/>
        <v>194</v>
      </c>
      <c r="Q326" s="552">
        <f t="shared" ca="1" si="23"/>
        <v>-20100</v>
      </c>
      <c r="R326" s="563">
        <f t="shared" ca="1" si="24"/>
        <v>1</v>
      </c>
      <c r="S326" s="565" t="s">
        <v>320</v>
      </c>
    </row>
    <row r="327" spans="2:19" ht="39.950000000000003" customHeight="1" x14ac:dyDescent="0.25">
      <c r="B327" s="859">
        <v>40023</v>
      </c>
      <c r="C327" s="558" t="s">
        <v>2349</v>
      </c>
      <c r="D327" s="558"/>
      <c r="E327" s="565" t="s">
        <v>521</v>
      </c>
      <c r="F327" s="548" t="s">
        <v>544</v>
      </c>
      <c r="G327" s="559" t="s">
        <v>307</v>
      </c>
      <c r="H327" s="548" t="s">
        <v>28</v>
      </c>
      <c r="I327" s="548" t="s">
        <v>542</v>
      </c>
      <c r="J327" s="548" t="s">
        <v>540</v>
      </c>
      <c r="K327" s="560">
        <v>9000</v>
      </c>
      <c r="L327" s="561">
        <v>35.99</v>
      </c>
      <c r="M327" s="552">
        <f t="shared" si="20"/>
        <v>250.06946373992776</v>
      </c>
      <c r="N327" s="562">
        <v>60</v>
      </c>
      <c r="O327" s="563">
        <f t="shared" si="21"/>
        <v>150</v>
      </c>
      <c r="P327" s="564">
        <f t="shared" ca="1" si="22"/>
        <v>194</v>
      </c>
      <c r="Q327" s="552">
        <f t="shared" ca="1" si="23"/>
        <v>-20100</v>
      </c>
      <c r="R327" s="563">
        <f t="shared" ca="1" si="24"/>
        <v>1</v>
      </c>
      <c r="S327" s="565" t="s">
        <v>320</v>
      </c>
    </row>
    <row r="328" spans="2:19" ht="39.950000000000003" customHeight="1" x14ac:dyDescent="0.25">
      <c r="B328" s="859">
        <v>40023</v>
      </c>
      <c r="C328" s="558" t="s">
        <v>2349</v>
      </c>
      <c r="D328" s="558"/>
      <c r="E328" s="565" t="s">
        <v>521</v>
      </c>
      <c r="F328" s="548" t="s">
        <v>562</v>
      </c>
      <c r="G328" s="559" t="s">
        <v>307</v>
      </c>
      <c r="H328" s="548" t="s">
        <v>28</v>
      </c>
      <c r="I328" s="548" t="s">
        <v>4379</v>
      </c>
      <c r="J328" s="548" t="s">
        <v>561</v>
      </c>
      <c r="K328" s="560">
        <v>9000</v>
      </c>
      <c r="L328" s="561">
        <v>35.99</v>
      </c>
      <c r="M328" s="552">
        <f t="shared" ref="M328:M391" si="25">+K328/L328</f>
        <v>250.06946373992776</v>
      </c>
      <c r="N328" s="562">
        <v>60</v>
      </c>
      <c r="O328" s="563">
        <f t="shared" ref="O328:O391" si="26">IF(AND(K328&lt;&gt;0,N328&lt;&gt;0),K328/N328,0)</f>
        <v>150</v>
      </c>
      <c r="P328" s="564">
        <f t="shared" ref="P328:P391" ca="1" si="27">IF(B328&lt;&gt;0,(ROUND((NOW()-B328)/30,0)),0)</f>
        <v>194</v>
      </c>
      <c r="Q328" s="552">
        <f t="shared" ref="Q328:Q391" ca="1" si="28">IF(OR(K328=0,N328=0,P328=0),0,K328-(O328*P328))</f>
        <v>-20100</v>
      </c>
      <c r="R328" s="563">
        <f t="shared" ref="R328:R391" ca="1" si="29">IF(Q328&lt;1,1,Q328)</f>
        <v>1</v>
      </c>
      <c r="S328" s="565" t="s">
        <v>320</v>
      </c>
    </row>
    <row r="329" spans="2:19" ht="39.950000000000003" customHeight="1" x14ac:dyDescent="0.25">
      <c r="B329" s="859">
        <v>40023</v>
      </c>
      <c r="C329" s="558" t="s">
        <v>2349</v>
      </c>
      <c r="D329" s="558"/>
      <c r="E329" s="565" t="s">
        <v>521</v>
      </c>
      <c r="F329" s="548" t="s">
        <v>563</v>
      </c>
      <c r="G329" s="559" t="s">
        <v>307</v>
      </c>
      <c r="H329" s="548" t="s">
        <v>28</v>
      </c>
      <c r="I329" s="548" t="s">
        <v>4379</v>
      </c>
      <c r="J329" s="548" t="s">
        <v>561</v>
      </c>
      <c r="K329" s="560">
        <v>9000</v>
      </c>
      <c r="L329" s="561">
        <v>35.99</v>
      </c>
      <c r="M329" s="552">
        <f t="shared" si="25"/>
        <v>250.06946373992776</v>
      </c>
      <c r="N329" s="562">
        <v>60</v>
      </c>
      <c r="O329" s="563">
        <f t="shared" si="26"/>
        <v>150</v>
      </c>
      <c r="P329" s="564">
        <f t="shared" ca="1" si="27"/>
        <v>194</v>
      </c>
      <c r="Q329" s="552">
        <f t="shared" ca="1" si="28"/>
        <v>-20100</v>
      </c>
      <c r="R329" s="563">
        <f t="shared" ca="1" si="29"/>
        <v>1</v>
      </c>
      <c r="S329" s="565" t="s">
        <v>320</v>
      </c>
    </row>
    <row r="330" spans="2:19" ht="39.950000000000003" customHeight="1" x14ac:dyDescent="0.25">
      <c r="B330" s="859">
        <v>40023</v>
      </c>
      <c r="C330" s="558" t="s">
        <v>2349</v>
      </c>
      <c r="D330" s="558"/>
      <c r="E330" s="565" t="s">
        <v>521</v>
      </c>
      <c r="F330" s="548" t="s">
        <v>559</v>
      </c>
      <c r="G330" s="559" t="s">
        <v>560</v>
      </c>
      <c r="H330" s="548" t="s">
        <v>28</v>
      </c>
      <c r="I330" s="548" t="s">
        <v>4379</v>
      </c>
      <c r="J330" s="548" t="s">
        <v>561</v>
      </c>
      <c r="K330" s="560">
        <v>18500</v>
      </c>
      <c r="L330" s="561">
        <v>35.99</v>
      </c>
      <c r="M330" s="552">
        <f t="shared" si="25"/>
        <v>514.03167546540703</v>
      </c>
      <c r="N330" s="562">
        <v>60</v>
      </c>
      <c r="O330" s="563">
        <f t="shared" si="26"/>
        <v>308.33333333333331</v>
      </c>
      <c r="P330" s="564">
        <f t="shared" ca="1" si="27"/>
        <v>194</v>
      </c>
      <c r="Q330" s="552">
        <f t="shared" ca="1" si="28"/>
        <v>-41316.666666666664</v>
      </c>
      <c r="R330" s="563">
        <f t="shared" ca="1" si="29"/>
        <v>1</v>
      </c>
      <c r="S330" s="565" t="s">
        <v>320</v>
      </c>
    </row>
    <row r="331" spans="2:19" ht="39.950000000000003" customHeight="1" x14ac:dyDescent="0.25">
      <c r="B331" s="859">
        <v>40023</v>
      </c>
      <c r="C331" s="558" t="s">
        <v>2349</v>
      </c>
      <c r="D331" s="558"/>
      <c r="E331" s="565" t="s">
        <v>521</v>
      </c>
      <c r="F331" s="548" t="s">
        <v>524</v>
      </c>
      <c r="G331" s="559" t="s">
        <v>525</v>
      </c>
      <c r="H331" s="548" t="s">
        <v>28</v>
      </c>
      <c r="I331" s="548" t="s">
        <v>526</v>
      </c>
      <c r="J331" s="548" t="s">
        <v>527</v>
      </c>
      <c r="K331" s="560">
        <v>2950</v>
      </c>
      <c r="L331" s="561">
        <v>35.99</v>
      </c>
      <c r="M331" s="552">
        <f t="shared" si="25"/>
        <v>81.967213114754088</v>
      </c>
      <c r="N331" s="562">
        <v>60</v>
      </c>
      <c r="O331" s="563">
        <f t="shared" si="26"/>
        <v>49.166666666666664</v>
      </c>
      <c r="P331" s="564">
        <f t="shared" ca="1" si="27"/>
        <v>194</v>
      </c>
      <c r="Q331" s="552">
        <f t="shared" ca="1" si="28"/>
        <v>-6588.3333333333321</v>
      </c>
      <c r="R331" s="563">
        <f t="shared" ca="1" si="29"/>
        <v>1</v>
      </c>
      <c r="S331" s="565" t="s">
        <v>320</v>
      </c>
    </row>
    <row r="332" spans="2:19" ht="39.950000000000003" customHeight="1" x14ac:dyDescent="0.25">
      <c r="B332" s="859">
        <v>40023</v>
      </c>
      <c r="C332" s="558" t="s">
        <v>2349</v>
      </c>
      <c r="D332" s="558"/>
      <c r="E332" s="565" t="s">
        <v>521</v>
      </c>
      <c r="F332" s="548" t="s">
        <v>541</v>
      </c>
      <c r="G332" s="559" t="s">
        <v>539</v>
      </c>
      <c r="H332" s="548" t="s">
        <v>28</v>
      </c>
      <c r="I332" s="548" t="s">
        <v>542</v>
      </c>
      <c r="J332" s="548" t="s">
        <v>540</v>
      </c>
      <c r="K332" s="560">
        <v>4950</v>
      </c>
      <c r="L332" s="561">
        <v>35.99</v>
      </c>
      <c r="M332" s="552">
        <f t="shared" si="25"/>
        <v>137.53820505696027</v>
      </c>
      <c r="N332" s="562">
        <v>60</v>
      </c>
      <c r="O332" s="563">
        <f t="shared" si="26"/>
        <v>82.5</v>
      </c>
      <c r="P332" s="564">
        <f t="shared" ca="1" si="27"/>
        <v>194</v>
      </c>
      <c r="Q332" s="552">
        <f t="shared" ca="1" si="28"/>
        <v>-11055</v>
      </c>
      <c r="R332" s="563">
        <f t="shared" ca="1" si="29"/>
        <v>1</v>
      </c>
      <c r="S332" s="565" t="s">
        <v>320</v>
      </c>
    </row>
    <row r="333" spans="2:19" ht="39.950000000000003" customHeight="1" x14ac:dyDescent="0.25">
      <c r="B333" s="859">
        <v>40028</v>
      </c>
      <c r="C333" s="558" t="s">
        <v>2349</v>
      </c>
      <c r="D333" s="558"/>
      <c r="E333" s="565" t="s">
        <v>570</v>
      </c>
      <c r="F333" s="548" t="s">
        <v>574</v>
      </c>
      <c r="G333" s="559" t="s">
        <v>575</v>
      </c>
      <c r="H333" s="548" t="s">
        <v>576</v>
      </c>
      <c r="I333" s="548" t="s">
        <v>466</v>
      </c>
      <c r="J333" s="548" t="s">
        <v>467</v>
      </c>
      <c r="K333" s="560">
        <v>3060.34</v>
      </c>
      <c r="L333" s="561">
        <v>36.1</v>
      </c>
      <c r="M333" s="552">
        <f t="shared" si="25"/>
        <v>84.773961218836561</v>
      </c>
      <c r="N333" s="562">
        <v>60</v>
      </c>
      <c r="O333" s="563">
        <f t="shared" si="26"/>
        <v>51.00566666666667</v>
      </c>
      <c r="P333" s="564">
        <f t="shared" ca="1" si="27"/>
        <v>194</v>
      </c>
      <c r="Q333" s="552">
        <f t="shared" ca="1" si="28"/>
        <v>-6834.7593333333334</v>
      </c>
      <c r="R333" s="563">
        <f t="shared" ca="1" si="29"/>
        <v>1</v>
      </c>
      <c r="S333" s="565" t="s">
        <v>369</v>
      </c>
    </row>
    <row r="334" spans="2:19" ht="39.950000000000003" customHeight="1" x14ac:dyDescent="0.25">
      <c r="B334" s="859">
        <v>40028</v>
      </c>
      <c r="C334" s="558" t="s">
        <v>2349</v>
      </c>
      <c r="D334" s="558"/>
      <c r="E334" s="565" t="s">
        <v>570</v>
      </c>
      <c r="F334" s="548" t="s">
        <v>579</v>
      </c>
      <c r="G334" s="559" t="s">
        <v>575</v>
      </c>
      <c r="H334" s="548" t="s">
        <v>580</v>
      </c>
      <c r="I334" s="548" t="s">
        <v>487</v>
      </c>
      <c r="J334" s="548" t="s">
        <v>488</v>
      </c>
      <c r="K334" s="560">
        <v>3060.34</v>
      </c>
      <c r="L334" s="561">
        <v>36.1</v>
      </c>
      <c r="M334" s="552">
        <f t="shared" si="25"/>
        <v>84.773961218836561</v>
      </c>
      <c r="N334" s="562">
        <v>60</v>
      </c>
      <c r="O334" s="563">
        <f t="shared" si="26"/>
        <v>51.00566666666667</v>
      </c>
      <c r="P334" s="564">
        <f t="shared" ca="1" si="27"/>
        <v>194</v>
      </c>
      <c r="Q334" s="552">
        <f t="shared" ca="1" si="28"/>
        <v>-6834.7593333333334</v>
      </c>
      <c r="R334" s="563">
        <f t="shared" ca="1" si="29"/>
        <v>1</v>
      </c>
      <c r="S334" s="565" t="s">
        <v>369</v>
      </c>
    </row>
    <row r="335" spans="2:19" ht="39.950000000000003" customHeight="1" x14ac:dyDescent="0.25">
      <c r="B335" s="859">
        <v>40028</v>
      </c>
      <c r="C335" s="558" t="s">
        <v>2349</v>
      </c>
      <c r="D335" s="558"/>
      <c r="E335" s="565" t="s">
        <v>570</v>
      </c>
      <c r="F335" s="548" t="s">
        <v>581</v>
      </c>
      <c r="G335" s="559" t="s">
        <v>575</v>
      </c>
      <c r="H335" s="548" t="s">
        <v>582</v>
      </c>
      <c r="I335" s="548" t="s">
        <v>23</v>
      </c>
      <c r="J335" s="548" t="s">
        <v>24</v>
      </c>
      <c r="K335" s="560">
        <v>3060.34</v>
      </c>
      <c r="L335" s="561">
        <v>36.1</v>
      </c>
      <c r="M335" s="552">
        <f t="shared" si="25"/>
        <v>84.773961218836561</v>
      </c>
      <c r="N335" s="562">
        <v>60</v>
      </c>
      <c r="O335" s="563">
        <f t="shared" si="26"/>
        <v>51.00566666666667</v>
      </c>
      <c r="P335" s="564">
        <f t="shared" ca="1" si="27"/>
        <v>194</v>
      </c>
      <c r="Q335" s="552">
        <f t="shared" ca="1" si="28"/>
        <v>-6834.7593333333334</v>
      </c>
      <c r="R335" s="563">
        <f t="shared" ca="1" si="29"/>
        <v>1</v>
      </c>
      <c r="S335" s="565" t="s">
        <v>369</v>
      </c>
    </row>
    <row r="336" spans="2:19" ht="39.950000000000003" customHeight="1" x14ac:dyDescent="0.25">
      <c r="B336" s="859">
        <v>40028</v>
      </c>
      <c r="C336" s="558" t="s">
        <v>2349</v>
      </c>
      <c r="D336" s="558"/>
      <c r="E336" s="565" t="s">
        <v>570</v>
      </c>
      <c r="F336" s="548" t="s">
        <v>571</v>
      </c>
      <c r="G336" s="559" t="s">
        <v>572</v>
      </c>
      <c r="H336" s="548" t="s">
        <v>573</v>
      </c>
      <c r="I336" s="548" t="s">
        <v>466</v>
      </c>
      <c r="J336" s="548" t="s">
        <v>467</v>
      </c>
      <c r="K336" s="560">
        <v>32069.14</v>
      </c>
      <c r="L336" s="561">
        <v>36.1</v>
      </c>
      <c r="M336" s="552">
        <f t="shared" si="25"/>
        <v>888.34182825484754</v>
      </c>
      <c r="N336" s="562">
        <v>60</v>
      </c>
      <c r="O336" s="563">
        <f t="shared" si="26"/>
        <v>534.4856666666667</v>
      </c>
      <c r="P336" s="564">
        <f t="shared" ca="1" si="27"/>
        <v>194</v>
      </c>
      <c r="Q336" s="552">
        <f t="shared" ca="1" si="28"/>
        <v>-71621.079333333342</v>
      </c>
      <c r="R336" s="563">
        <f t="shared" ca="1" si="29"/>
        <v>1</v>
      </c>
      <c r="S336" s="565" t="s">
        <v>369</v>
      </c>
    </row>
    <row r="337" spans="2:19" ht="39.950000000000003" customHeight="1" x14ac:dyDescent="0.25">
      <c r="B337" s="859">
        <v>40028</v>
      </c>
      <c r="C337" s="558" t="s">
        <v>2349</v>
      </c>
      <c r="D337" s="558"/>
      <c r="E337" s="565" t="s">
        <v>570</v>
      </c>
      <c r="F337" s="548" t="s">
        <v>577</v>
      </c>
      <c r="G337" s="559" t="s">
        <v>572</v>
      </c>
      <c r="H337" s="548" t="s">
        <v>578</v>
      </c>
      <c r="I337" s="548" t="s">
        <v>487</v>
      </c>
      <c r="J337" s="548" t="s">
        <v>488</v>
      </c>
      <c r="K337" s="560">
        <v>32069.14</v>
      </c>
      <c r="L337" s="561">
        <v>36.1</v>
      </c>
      <c r="M337" s="552">
        <f t="shared" si="25"/>
        <v>888.34182825484754</v>
      </c>
      <c r="N337" s="562">
        <v>60</v>
      </c>
      <c r="O337" s="563">
        <f t="shared" si="26"/>
        <v>534.4856666666667</v>
      </c>
      <c r="P337" s="564">
        <f t="shared" ca="1" si="27"/>
        <v>194</v>
      </c>
      <c r="Q337" s="552">
        <f t="shared" ca="1" si="28"/>
        <v>-71621.079333333342</v>
      </c>
      <c r="R337" s="563">
        <f t="shared" ca="1" si="29"/>
        <v>1</v>
      </c>
      <c r="S337" s="565" t="s">
        <v>369</v>
      </c>
    </row>
    <row r="338" spans="2:19" ht="39.950000000000003" customHeight="1" x14ac:dyDescent="0.25">
      <c r="B338" s="859">
        <v>40051</v>
      </c>
      <c r="C338" s="558" t="s">
        <v>2349</v>
      </c>
      <c r="D338" s="558"/>
      <c r="E338" s="565" t="s">
        <v>583</v>
      </c>
      <c r="F338" s="548" t="s">
        <v>586</v>
      </c>
      <c r="G338" s="559" t="s">
        <v>584</v>
      </c>
      <c r="H338" s="548" t="s">
        <v>587</v>
      </c>
      <c r="I338" s="548" t="s">
        <v>487</v>
      </c>
      <c r="J338" s="548" t="s">
        <v>488</v>
      </c>
      <c r="K338" s="560">
        <v>1348.31</v>
      </c>
      <c r="L338" s="561">
        <v>36.1</v>
      </c>
      <c r="M338" s="552">
        <f t="shared" si="25"/>
        <v>37.349307479224372</v>
      </c>
      <c r="N338" s="562">
        <v>60</v>
      </c>
      <c r="O338" s="563">
        <f t="shared" si="26"/>
        <v>22.471833333333333</v>
      </c>
      <c r="P338" s="564">
        <f t="shared" ca="1" si="27"/>
        <v>193</v>
      </c>
      <c r="Q338" s="552">
        <f t="shared" ca="1" si="28"/>
        <v>-2988.7538333333337</v>
      </c>
      <c r="R338" s="563">
        <f t="shared" ca="1" si="29"/>
        <v>1</v>
      </c>
      <c r="S338" s="565" t="s">
        <v>585</v>
      </c>
    </row>
    <row r="339" spans="2:19" ht="39.950000000000003" customHeight="1" x14ac:dyDescent="0.25">
      <c r="B339" s="859">
        <v>40064</v>
      </c>
      <c r="C339" s="558" t="s">
        <v>2349</v>
      </c>
      <c r="D339" s="558"/>
      <c r="E339" s="565" t="s">
        <v>521</v>
      </c>
      <c r="F339" s="548" t="s">
        <v>594</v>
      </c>
      <c r="G339" s="559" t="s">
        <v>523</v>
      </c>
      <c r="H339" s="548" t="s">
        <v>28</v>
      </c>
      <c r="I339" s="548" t="s">
        <v>457</v>
      </c>
      <c r="J339" s="548" t="s">
        <v>458</v>
      </c>
      <c r="K339" s="560">
        <v>1200</v>
      </c>
      <c r="L339" s="561">
        <v>36.04</v>
      </c>
      <c r="M339" s="552">
        <f t="shared" si="25"/>
        <v>33.296337402885683</v>
      </c>
      <c r="N339" s="562">
        <v>60</v>
      </c>
      <c r="O339" s="563">
        <f t="shared" si="26"/>
        <v>20</v>
      </c>
      <c r="P339" s="564">
        <f t="shared" ca="1" si="27"/>
        <v>193</v>
      </c>
      <c r="Q339" s="552">
        <f t="shared" ca="1" si="28"/>
        <v>-2660</v>
      </c>
      <c r="R339" s="563">
        <f t="shared" ca="1" si="29"/>
        <v>1</v>
      </c>
      <c r="S339" s="565" t="s">
        <v>320</v>
      </c>
    </row>
    <row r="340" spans="2:19" ht="50.1" customHeight="1" x14ac:dyDescent="0.25">
      <c r="B340" s="859">
        <v>40064</v>
      </c>
      <c r="C340" s="558" t="s">
        <v>2349</v>
      </c>
      <c r="D340" s="558"/>
      <c r="E340" s="565" t="s">
        <v>521</v>
      </c>
      <c r="F340" s="548" t="s">
        <v>595</v>
      </c>
      <c r="G340" s="559" t="s">
        <v>523</v>
      </c>
      <c r="H340" s="548" t="s">
        <v>28</v>
      </c>
      <c r="I340" s="548" t="s">
        <v>457</v>
      </c>
      <c r="J340" s="548" t="s">
        <v>458</v>
      </c>
      <c r="K340" s="560">
        <v>1200</v>
      </c>
      <c r="L340" s="561">
        <v>36.04</v>
      </c>
      <c r="M340" s="552">
        <f t="shared" si="25"/>
        <v>33.296337402885683</v>
      </c>
      <c r="N340" s="562">
        <v>60</v>
      </c>
      <c r="O340" s="563">
        <f t="shared" si="26"/>
        <v>20</v>
      </c>
      <c r="P340" s="564">
        <f t="shared" ca="1" si="27"/>
        <v>193</v>
      </c>
      <c r="Q340" s="552">
        <f t="shared" ca="1" si="28"/>
        <v>-2660</v>
      </c>
      <c r="R340" s="563">
        <f t="shared" ca="1" si="29"/>
        <v>1</v>
      </c>
      <c r="S340" s="565" t="s">
        <v>320</v>
      </c>
    </row>
    <row r="341" spans="2:19" ht="50.1" customHeight="1" x14ac:dyDescent="0.25">
      <c r="B341" s="859">
        <v>40064</v>
      </c>
      <c r="C341" s="558" t="s">
        <v>2349</v>
      </c>
      <c r="D341" s="558"/>
      <c r="E341" s="565" t="s">
        <v>521</v>
      </c>
      <c r="F341" s="548" t="s">
        <v>596</v>
      </c>
      <c r="G341" s="559" t="s">
        <v>523</v>
      </c>
      <c r="H341" s="548" t="s">
        <v>28</v>
      </c>
      <c r="I341" s="548" t="s">
        <v>457</v>
      </c>
      <c r="J341" s="548" t="s">
        <v>458</v>
      </c>
      <c r="K341" s="560">
        <v>1200</v>
      </c>
      <c r="L341" s="561">
        <v>36.04</v>
      </c>
      <c r="M341" s="552">
        <f t="shared" si="25"/>
        <v>33.296337402885683</v>
      </c>
      <c r="N341" s="562">
        <v>60</v>
      </c>
      <c r="O341" s="563">
        <f t="shared" si="26"/>
        <v>20</v>
      </c>
      <c r="P341" s="564">
        <f t="shared" ca="1" si="27"/>
        <v>193</v>
      </c>
      <c r="Q341" s="552">
        <f t="shared" ca="1" si="28"/>
        <v>-2660</v>
      </c>
      <c r="R341" s="563">
        <f t="shared" ca="1" si="29"/>
        <v>1</v>
      </c>
      <c r="S341" s="565" t="s">
        <v>320</v>
      </c>
    </row>
    <row r="342" spans="2:19" ht="50.1" customHeight="1" x14ac:dyDescent="0.25">
      <c r="B342" s="859">
        <v>40064</v>
      </c>
      <c r="C342" s="558" t="s">
        <v>2349</v>
      </c>
      <c r="D342" s="558"/>
      <c r="E342" s="565" t="s">
        <v>521</v>
      </c>
      <c r="F342" s="548" t="s">
        <v>597</v>
      </c>
      <c r="G342" s="559" t="s">
        <v>523</v>
      </c>
      <c r="H342" s="548" t="s">
        <v>28</v>
      </c>
      <c r="I342" s="548" t="s">
        <v>457</v>
      </c>
      <c r="J342" s="548" t="s">
        <v>458</v>
      </c>
      <c r="K342" s="560">
        <v>1200</v>
      </c>
      <c r="L342" s="561">
        <v>36.04</v>
      </c>
      <c r="M342" s="552">
        <f t="shared" si="25"/>
        <v>33.296337402885683</v>
      </c>
      <c r="N342" s="562">
        <v>60</v>
      </c>
      <c r="O342" s="563">
        <f t="shared" si="26"/>
        <v>20</v>
      </c>
      <c r="P342" s="564">
        <f t="shared" ca="1" si="27"/>
        <v>193</v>
      </c>
      <c r="Q342" s="552">
        <f t="shared" ca="1" si="28"/>
        <v>-2660</v>
      </c>
      <c r="R342" s="563">
        <f t="shared" ca="1" si="29"/>
        <v>1</v>
      </c>
      <c r="S342" s="565" t="s">
        <v>320</v>
      </c>
    </row>
    <row r="343" spans="2:19" ht="50.1" customHeight="1" x14ac:dyDescent="0.25">
      <c r="B343" s="859">
        <v>40064</v>
      </c>
      <c r="C343" s="558" t="s">
        <v>2349</v>
      </c>
      <c r="D343" s="558"/>
      <c r="E343" s="565" t="s">
        <v>521</v>
      </c>
      <c r="F343" s="548" t="s">
        <v>593</v>
      </c>
      <c r="G343" s="559" t="s">
        <v>407</v>
      </c>
      <c r="H343" s="548" t="s">
        <v>28</v>
      </c>
      <c r="I343" s="548" t="s">
        <v>457</v>
      </c>
      <c r="J343" s="548" t="s">
        <v>458</v>
      </c>
      <c r="K343" s="560">
        <v>2426</v>
      </c>
      <c r="L343" s="561">
        <v>36.04</v>
      </c>
      <c r="M343" s="552">
        <f t="shared" si="25"/>
        <v>67.314095449500556</v>
      </c>
      <c r="N343" s="562">
        <v>60</v>
      </c>
      <c r="O343" s="563">
        <f t="shared" si="26"/>
        <v>40.43333333333333</v>
      </c>
      <c r="P343" s="564">
        <f t="shared" ca="1" si="27"/>
        <v>193</v>
      </c>
      <c r="Q343" s="552">
        <f t="shared" ca="1" si="28"/>
        <v>-5377.6333333333323</v>
      </c>
      <c r="R343" s="563">
        <f t="shared" ca="1" si="29"/>
        <v>1</v>
      </c>
      <c r="S343" s="565" t="s">
        <v>320</v>
      </c>
    </row>
    <row r="344" spans="2:19" ht="50.1" customHeight="1" x14ac:dyDescent="0.25">
      <c r="B344" s="859">
        <v>40064</v>
      </c>
      <c r="C344" s="558" t="s">
        <v>2349</v>
      </c>
      <c r="D344" s="558"/>
      <c r="E344" s="565" t="s">
        <v>521</v>
      </c>
      <c r="F344" s="548" t="s">
        <v>591</v>
      </c>
      <c r="G344" s="559" t="s">
        <v>592</v>
      </c>
      <c r="H344" s="548" t="s">
        <v>28</v>
      </c>
      <c r="I344" s="548" t="s">
        <v>457</v>
      </c>
      <c r="J344" s="548" t="s">
        <v>458</v>
      </c>
      <c r="K344" s="560">
        <v>12347</v>
      </c>
      <c r="L344" s="561">
        <v>36.04</v>
      </c>
      <c r="M344" s="552">
        <f t="shared" si="25"/>
        <v>342.59156492785792</v>
      </c>
      <c r="N344" s="562">
        <v>60</v>
      </c>
      <c r="O344" s="563">
        <f t="shared" si="26"/>
        <v>205.78333333333333</v>
      </c>
      <c r="P344" s="564">
        <f t="shared" ca="1" si="27"/>
        <v>193</v>
      </c>
      <c r="Q344" s="552">
        <f t="shared" ca="1" si="28"/>
        <v>-27369.183333333334</v>
      </c>
      <c r="R344" s="563">
        <f t="shared" ca="1" si="29"/>
        <v>1</v>
      </c>
      <c r="S344" s="565" t="s">
        <v>320</v>
      </c>
    </row>
    <row r="345" spans="2:19" ht="50.1" customHeight="1" x14ac:dyDescent="0.25">
      <c r="B345" s="859">
        <v>40064</v>
      </c>
      <c r="C345" s="558" t="s">
        <v>2349</v>
      </c>
      <c r="D345" s="558"/>
      <c r="E345" s="565" t="s">
        <v>521</v>
      </c>
      <c r="F345" s="548" t="s">
        <v>589</v>
      </c>
      <c r="G345" s="559" t="s">
        <v>590</v>
      </c>
      <c r="H345" s="548" t="s">
        <v>28</v>
      </c>
      <c r="I345" s="548" t="s">
        <v>457</v>
      </c>
      <c r="J345" s="548" t="s">
        <v>458</v>
      </c>
      <c r="K345" s="560">
        <v>4636</v>
      </c>
      <c r="L345" s="561">
        <v>36.04</v>
      </c>
      <c r="M345" s="552">
        <f t="shared" si="25"/>
        <v>128.6348501664817</v>
      </c>
      <c r="N345" s="562">
        <v>60</v>
      </c>
      <c r="O345" s="563">
        <f t="shared" si="26"/>
        <v>77.266666666666666</v>
      </c>
      <c r="P345" s="564">
        <f t="shared" ca="1" si="27"/>
        <v>193</v>
      </c>
      <c r="Q345" s="552">
        <f t="shared" ca="1" si="28"/>
        <v>-10276.466666666667</v>
      </c>
      <c r="R345" s="563">
        <f t="shared" ca="1" si="29"/>
        <v>1</v>
      </c>
      <c r="S345" s="565" t="s">
        <v>320</v>
      </c>
    </row>
    <row r="346" spans="2:19" ht="50.1" customHeight="1" x14ac:dyDescent="0.25">
      <c r="B346" s="859">
        <v>40064</v>
      </c>
      <c r="C346" s="558" t="s">
        <v>2349</v>
      </c>
      <c r="D346" s="558"/>
      <c r="E346" s="565" t="s">
        <v>521</v>
      </c>
      <c r="F346" s="548" t="s">
        <v>588</v>
      </c>
      <c r="G346" s="559" t="s">
        <v>426</v>
      </c>
      <c r="H346" s="548" t="s">
        <v>28</v>
      </c>
      <c r="I346" s="548" t="s">
        <v>457</v>
      </c>
      <c r="J346" s="548" t="s">
        <v>458</v>
      </c>
      <c r="K346" s="560">
        <v>9512</v>
      </c>
      <c r="L346" s="561">
        <v>36.04</v>
      </c>
      <c r="M346" s="552">
        <f t="shared" si="25"/>
        <v>263.92896781354051</v>
      </c>
      <c r="N346" s="562">
        <v>60</v>
      </c>
      <c r="O346" s="563">
        <f t="shared" si="26"/>
        <v>158.53333333333333</v>
      </c>
      <c r="P346" s="564">
        <f t="shared" ca="1" si="27"/>
        <v>193</v>
      </c>
      <c r="Q346" s="552">
        <f t="shared" ca="1" si="28"/>
        <v>-21084.933333333334</v>
      </c>
      <c r="R346" s="563">
        <f t="shared" ca="1" si="29"/>
        <v>1</v>
      </c>
      <c r="S346" s="565" t="s">
        <v>320</v>
      </c>
    </row>
    <row r="347" spans="2:19" ht="50.1" customHeight="1" x14ac:dyDescent="0.25">
      <c r="B347" s="859">
        <v>40099</v>
      </c>
      <c r="C347" s="558" t="s">
        <v>2349</v>
      </c>
      <c r="D347" s="558"/>
      <c r="E347" s="565" t="s">
        <v>598</v>
      </c>
      <c r="F347" s="548" t="s">
        <v>603</v>
      </c>
      <c r="G347" s="559" t="s">
        <v>511</v>
      </c>
      <c r="H347" s="548" t="s">
        <v>28</v>
      </c>
      <c r="I347" s="548" t="s">
        <v>457</v>
      </c>
      <c r="J347" s="548" t="s">
        <v>458</v>
      </c>
      <c r="K347" s="560">
        <v>19500</v>
      </c>
      <c r="L347" s="561">
        <v>35.9</v>
      </c>
      <c r="M347" s="552">
        <f t="shared" si="25"/>
        <v>543.17548746518105</v>
      </c>
      <c r="N347" s="562">
        <v>60</v>
      </c>
      <c r="O347" s="563">
        <f t="shared" si="26"/>
        <v>325</v>
      </c>
      <c r="P347" s="564">
        <f t="shared" ca="1" si="27"/>
        <v>192</v>
      </c>
      <c r="Q347" s="552">
        <f t="shared" ca="1" si="28"/>
        <v>-42900</v>
      </c>
      <c r="R347" s="563">
        <f t="shared" ca="1" si="29"/>
        <v>1</v>
      </c>
      <c r="S347" s="565" t="s">
        <v>402</v>
      </c>
    </row>
    <row r="348" spans="2:19" ht="50.1" customHeight="1" x14ac:dyDescent="0.25">
      <c r="B348" s="859">
        <v>40099</v>
      </c>
      <c r="C348" s="558" t="s">
        <v>2349</v>
      </c>
      <c r="D348" s="558"/>
      <c r="E348" s="565" t="s">
        <v>598</v>
      </c>
      <c r="F348" s="548" t="s">
        <v>605</v>
      </c>
      <c r="G348" s="559" t="s">
        <v>511</v>
      </c>
      <c r="H348" s="548" t="s">
        <v>28</v>
      </c>
      <c r="I348" s="548" t="s">
        <v>4375</v>
      </c>
      <c r="J348" s="548" t="s">
        <v>467</v>
      </c>
      <c r="K348" s="560">
        <v>19500</v>
      </c>
      <c r="L348" s="561">
        <v>35.9</v>
      </c>
      <c r="M348" s="552">
        <f t="shared" si="25"/>
        <v>543.17548746518105</v>
      </c>
      <c r="N348" s="562">
        <v>60</v>
      </c>
      <c r="O348" s="563">
        <f t="shared" si="26"/>
        <v>325</v>
      </c>
      <c r="P348" s="564">
        <f t="shared" ca="1" si="27"/>
        <v>192</v>
      </c>
      <c r="Q348" s="552">
        <f t="shared" ca="1" si="28"/>
        <v>-42900</v>
      </c>
      <c r="R348" s="563">
        <f t="shared" ca="1" si="29"/>
        <v>1</v>
      </c>
      <c r="S348" s="565" t="s">
        <v>402</v>
      </c>
    </row>
    <row r="349" spans="2:19" ht="50.1" customHeight="1" x14ac:dyDescent="0.25">
      <c r="B349" s="859">
        <v>40099</v>
      </c>
      <c r="C349" s="558" t="s">
        <v>2349</v>
      </c>
      <c r="D349" s="558"/>
      <c r="E349" s="565" t="s">
        <v>598</v>
      </c>
      <c r="F349" s="548" t="s">
        <v>613</v>
      </c>
      <c r="G349" s="559" t="s">
        <v>511</v>
      </c>
      <c r="H349" s="548" t="s">
        <v>28</v>
      </c>
      <c r="I349" s="548" t="s">
        <v>480</v>
      </c>
      <c r="J349" s="548" t="s">
        <v>481</v>
      </c>
      <c r="K349" s="560">
        <v>19500</v>
      </c>
      <c r="L349" s="561">
        <v>35.9</v>
      </c>
      <c r="M349" s="552">
        <f t="shared" si="25"/>
        <v>543.17548746518105</v>
      </c>
      <c r="N349" s="562">
        <v>60</v>
      </c>
      <c r="O349" s="563">
        <f t="shared" si="26"/>
        <v>325</v>
      </c>
      <c r="P349" s="564">
        <f t="shared" ca="1" si="27"/>
        <v>192</v>
      </c>
      <c r="Q349" s="552">
        <f t="shared" ca="1" si="28"/>
        <v>-42900</v>
      </c>
      <c r="R349" s="563">
        <f t="shared" ca="1" si="29"/>
        <v>1</v>
      </c>
      <c r="S349" s="565" t="s">
        <v>402</v>
      </c>
    </row>
    <row r="350" spans="2:19" ht="39.950000000000003" customHeight="1" x14ac:dyDescent="0.25">
      <c r="B350" s="859">
        <v>40099</v>
      </c>
      <c r="C350" s="558" t="s">
        <v>2349</v>
      </c>
      <c r="D350" s="558"/>
      <c r="E350" s="565" t="s">
        <v>598</v>
      </c>
      <c r="F350" s="548" t="s">
        <v>614</v>
      </c>
      <c r="G350" s="559" t="s">
        <v>511</v>
      </c>
      <c r="H350" s="548" t="s">
        <v>28</v>
      </c>
      <c r="I350" s="548" t="s">
        <v>480</v>
      </c>
      <c r="J350" s="548" t="s">
        <v>481</v>
      </c>
      <c r="K350" s="560">
        <v>19500</v>
      </c>
      <c r="L350" s="561">
        <v>35.9</v>
      </c>
      <c r="M350" s="552">
        <f t="shared" si="25"/>
        <v>543.17548746518105</v>
      </c>
      <c r="N350" s="562">
        <v>60</v>
      </c>
      <c r="O350" s="563">
        <f t="shared" si="26"/>
        <v>325</v>
      </c>
      <c r="P350" s="564">
        <f t="shared" ca="1" si="27"/>
        <v>192</v>
      </c>
      <c r="Q350" s="552">
        <f t="shared" ca="1" si="28"/>
        <v>-42900</v>
      </c>
      <c r="R350" s="563">
        <f t="shared" ca="1" si="29"/>
        <v>1</v>
      </c>
      <c r="S350" s="565" t="s">
        <v>402</v>
      </c>
    </row>
    <row r="351" spans="2:19" ht="39.950000000000003" customHeight="1" x14ac:dyDescent="0.25">
      <c r="B351" s="859">
        <v>40099</v>
      </c>
      <c r="C351" s="558" t="s">
        <v>2349</v>
      </c>
      <c r="D351" s="558"/>
      <c r="E351" s="565" t="s">
        <v>598</v>
      </c>
      <c r="F351" s="548" t="s">
        <v>617</v>
      </c>
      <c r="G351" s="559" t="s">
        <v>511</v>
      </c>
      <c r="H351" s="548" t="s">
        <v>28</v>
      </c>
      <c r="I351" s="548" t="s">
        <v>487</v>
      </c>
      <c r="J351" s="548" t="s">
        <v>488</v>
      </c>
      <c r="K351" s="560">
        <v>19500</v>
      </c>
      <c r="L351" s="561">
        <v>35.9</v>
      </c>
      <c r="M351" s="552">
        <f t="shared" si="25"/>
        <v>543.17548746518105</v>
      </c>
      <c r="N351" s="562">
        <v>60</v>
      </c>
      <c r="O351" s="563">
        <f t="shared" si="26"/>
        <v>325</v>
      </c>
      <c r="P351" s="564">
        <f t="shared" ca="1" si="27"/>
        <v>192</v>
      </c>
      <c r="Q351" s="552">
        <f t="shared" ca="1" si="28"/>
        <v>-42900</v>
      </c>
      <c r="R351" s="563">
        <f t="shared" ca="1" si="29"/>
        <v>1</v>
      </c>
      <c r="S351" s="565" t="s">
        <v>402</v>
      </c>
    </row>
    <row r="352" spans="2:19" ht="39.950000000000003" customHeight="1" x14ac:dyDescent="0.25">
      <c r="B352" s="859">
        <v>40099</v>
      </c>
      <c r="C352" s="558" t="s">
        <v>2349</v>
      </c>
      <c r="D352" s="558"/>
      <c r="E352" s="565" t="s">
        <v>598</v>
      </c>
      <c r="F352" s="548" t="s">
        <v>619</v>
      </c>
      <c r="G352" s="559" t="s">
        <v>511</v>
      </c>
      <c r="H352" s="548" t="s">
        <v>28</v>
      </c>
      <c r="I352" s="548" t="s">
        <v>67</v>
      </c>
      <c r="J352" s="548" t="s">
        <v>4396</v>
      </c>
      <c r="K352" s="560">
        <v>19500</v>
      </c>
      <c r="L352" s="561">
        <v>35.9</v>
      </c>
      <c r="M352" s="552">
        <f t="shared" si="25"/>
        <v>543.17548746518105</v>
      </c>
      <c r="N352" s="562">
        <v>60</v>
      </c>
      <c r="O352" s="563">
        <f t="shared" si="26"/>
        <v>325</v>
      </c>
      <c r="P352" s="564">
        <f t="shared" ca="1" si="27"/>
        <v>192</v>
      </c>
      <c r="Q352" s="552">
        <f t="shared" ca="1" si="28"/>
        <v>-42900</v>
      </c>
      <c r="R352" s="563">
        <f t="shared" ca="1" si="29"/>
        <v>1</v>
      </c>
      <c r="S352" s="565" t="s">
        <v>402</v>
      </c>
    </row>
    <row r="353" spans="2:19" ht="39.950000000000003" customHeight="1" x14ac:dyDescent="0.25">
      <c r="B353" s="859">
        <v>40099</v>
      </c>
      <c r="C353" s="558" t="s">
        <v>2349</v>
      </c>
      <c r="D353" s="558"/>
      <c r="E353" s="565" t="s">
        <v>598</v>
      </c>
      <c r="F353" s="548" t="s">
        <v>622</v>
      </c>
      <c r="G353" s="559" t="s">
        <v>511</v>
      </c>
      <c r="H353" s="548" t="s">
        <v>28</v>
      </c>
      <c r="I353" s="548" t="s">
        <v>67</v>
      </c>
      <c r="J353" s="548" t="s">
        <v>507</v>
      </c>
      <c r="K353" s="566">
        <v>19500</v>
      </c>
      <c r="L353" s="561">
        <v>35.9</v>
      </c>
      <c r="M353" s="552">
        <f t="shared" si="25"/>
        <v>543.17548746518105</v>
      </c>
      <c r="N353" s="526">
        <v>60</v>
      </c>
      <c r="O353" s="563">
        <f t="shared" si="26"/>
        <v>325</v>
      </c>
      <c r="P353" s="564">
        <f t="shared" ca="1" si="27"/>
        <v>192</v>
      </c>
      <c r="Q353" s="552">
        <f t="shared" ca="1" si="28"/>
        <v>-42900</v>
      </c>
      <c r="R353" s="563">
        <f t="shared" ca="1" si="29"/>
        <v>1</v>
      </c>
      <c r="S353" s="565" t="s">
        <v>402</v>
      </c>
    </row>
    <row r="354" spans="2:19" ht="39.950000000000003" customHeight="1" x14ac:dyDescent="0.25">
      <c r="B354" s="859">
        <v>40099</v>
      </c>
      <c r="C354" s="558" t="s">
        <v>2349</v>
      </c>
      <c r="D354" s="558"/>
      <c r="E354" s="565" t="s">
        <v>598</v>
      </c>
      <c r="F354" s="548" t="s">
        <v>601</v>
      </c>
      <c r="G354" s="559" t="s">
        <v>602</v>
      </c>
      <c r="H354" s="548" t="s">
        <v>28</v>
      </c>
      <c r="I354" s="548" t="s">
        <v>457</v>
      </c>
      <c r="J354" s="548" t="s">
        <v>458</v>
      </c>
      <c r="K354" s="560">
        <v>5850</v>
      </c>
      <c r="L354" s="561">
        <v>35.9</v>
      </c>
      <c r="M354" s="552">
        <f t="shared" si="25"/>
        <v>162.95264623955433</v>
      </c>
      <c r="N354" s="562">
        <v>60</v>
      </c>
      <c r="O354" s="563">
        <f t="shared" si="26"/>
        <v>97.5</v>
      </c>
      <c r="P354" s="564">
        <f t="shared" ca="1" si="27"/>
        <v>192</v>
      </c>
      <c r="Q354" s="552">
        <f t="shared" ca="1" si="28"/>
        <v>-12870</v>
      </c>
      <c r="R354" s="563">
        <f t="shared" ca="1" si="29"/>
        <v>1</v>
      </c>
      <c r="S354" s="565" t="s">
        <v>402</v>
      </c>
    </row>
    <row r="355" spans="2:19" ht="39.950000000000003" customHeight="1" x14ac:dyDescent="0.25">
      <c r="B355" s="859">
        <v>40099</v>
      </c>
      <c r="C355" s="558" t="s">
        <v>2349</v>
      </c>
      <c r="D355" s="558"/>
      <c r="E355" s="565" t="s">
        <v>598</v>
      </c>
      <c r="F355" s="548" t="s">
        <v>604</v>
      </c>
      <c r="G355" s="559" t="s">
        <v>602</v>
      </c>
      <c r="H355" s="548" t="s">
        <v>28</v>
      </c>
      <c r="I355" s="548" t="s">
        <v>4374</v>
      </c>
      <c r="J355" s="548" t="s">
        <v>467</v>
      </c>
      <c r="K355" s="560">
        <v>5850</v>
      </c>
      <c r="L355" s="561">
        <v>35.9</v>
      </c>
      <c r="M355" s="552">
        <f t="shared" si="25"/>
        <v>162.95264623955433</v>
      </c>
      <c r="N355" s="562">
        <v>60</v>
      </c>
      <c r="O355" s="563">
        <f t="shared" si="26"/>
        <v>97.5</v>
      </c>
      <c r="P355" s="564">
        <f t="shared" ca="1" si="27"/>
        <v>192</v>
      </c>
      <c r="Q355" s="552">
        <f t="shared" ca="1" si="28"/>
        <v>-12870</v>
      </c>
      <c r="R355" s="563">
        <f t="shared" ca="1" si="29"/>
        <v>1</v>
      </c>
      <c r="S355" s="565" t="s">
        <v>402</v>
      </c>
    </row>
    <row r="356" spans="2:19" ht="39.950000000000003" customHeight="1" x14ac:dyDescent="0.25">
      <c r="B356" s="859">
        <v>40099</v>
      </c>
      <c r="C356" s="558" t="s">
        <v>2349</v>
      </c>
      <c r="D356" s="558"/>
      <c r="E356" s="565" t="s">
        <v>598</v>
      </c>
      <c r="F356" s="548" t="s">
        <v>606</v>
      </c>
      <c r="G356" s="559" t="s">
        <v>602</v>
      </c>
      <c r="H356" s="548" t="s">
        <v>28</v>
      </c>
      <c r="I356" s="548" t="s">
        <v>607</v>
      </c>
      <c r="J356" s="548" t="s">
        <v>608</v>
      </c>
      <c r="K356" s="560">
        <v>5850</v>
      </c>
      <c r="L356" s="561">
        <v>35.9</v>
      </c>
      <c r="M356" s="552">
        <f t="shared" si="25"/>
        <v>162.95264623955433</v>
      </c>
      <c r="N356" s="562">
        <v>60</v>
      </c>
      <c r="O356" s="563">
        <f t="shared" si="26"/>
        <v>97.5</v>
      </c>
      <c r="P356" s="564">
        <f t="shared" ca="1" si="27"/>
        <v>192</v>
      </c>
      <c r="Q356" s="552">
        <f t="shared" ca="1" si="28"/>
        <v>-12870</v>
      </c>
      <c r="R356" s="563">
        <f t="shared" ca="1" si="29"/>
        <v>1</v>
      </c>
      <c r="S356" s="565" t="s">
        <v>402</v>
      </c>
    </row>
    <row r="357" spans="2:19" ht="39.950000000000003" customHeight="1" x14ac:dyDescent="0.25">
      <c r="B357" s="859">
        <v>40099</v>
      </c>
      <c r="C357" s="558" t="s">
        <v>2349</v>
      </c>
      <c r="D357" s="558"/>
      <c r="E357" s="565" t="s">
        <v>598</v>
      </c>
      <c r="F357" s="548" t="s">
        <v>612</v>
      </c>
      <c r="G357" s="559" t="s">
        <v>602</v>
      </c>
      <c r="H357" s="548" t="s">
        <v>28</v>
      </c>
      <c r="I357" s="548" t="s">
        <v>480</v>
      </c>
      <c r="J357" s="548" t="s">
        <v>481</v>
      </c>
      <c r="K357" s="560">
        <v>5850</v>
      </c>
      <c r="L357" s="561">
        <v>35.9</v>
      </c>
      <c r="M357" s="552">
        <f t="shared" si="25"/>
        <v>162.95264623955433</v>
      </c>
      <c r="N357" s="562">
        <v>60</v>
      </c>
      <c r="O357" s="563">
        <f t="shared" si="26"/>
        <v>97.5</v>
      </c>
      <c r="P357" s="564">
        <f t="shared" ca="1" si="27"/>
        <v>192</v>
      </c>
      <c r="Q357" s="552">
        <f t="shared" ca="1" si="28"/>
        <v>-12870</v>
      </c>
      <c r="R357" s="563">
        <f t="shared" ca="1" si="29"/>
        <v>1</v>
      </c>
      <c r="S357" s="565" t="s">
        <v>402</v>
      </c>
    </row>
    <row r="358" spans="2:19" ht="39.950000000000003" customHeight="1" x14ac:dyDescent="0.25">
      <c r="B358" s="859">
        <v>40099</v>
      </c>
      <c r="C358" s="558" t="s">
        <v>2349</v>
      </c>
      <c r="D358" s="558"/>
      <c r="E358" s="565" t="s">
        <v>598</v>
      </c>
      <c r="F358" s="548" t="s">
        <v>616</v>
      </c>
      <c r="G358" s="559" t="s">
        <v>602</v>
      </c>
      <c r="H358" s="548" t="s">
        <v>28</v>
      </c>
      <c r="I358" s="548" t="s">
        <v>487</v>
      </c>
      <c r="J358" s="548" t="s">
        <v>488</v>
      </c>
      <c r="K358" s="560">
        <v>5850</v>
      </c>
      <c r="L358" s="561">
        <v>35.9</v>
      </c>
      <c r="M358" s="552">
        <f t="shared" si="25"/>
        <v>162.95264623955433</v>
      </c>
      <c r="N358" s="562">
        <v>60</v>
      </c>
      <c r="O358" s="563">
        <f t="shared" si="26"/>
        <v>97.5</v>
      </c>
      <c r="P358" s="564">
        <f t="shared" ca="1" si="27"/>
        <v>192</v>
      </c>
      <c r="Q358" s="552">
        <f t="shared" ca="1" si="28"/>
        <v>-12870</v>
      </c>
      <c r="R358" s="563">
        <f t="shared" ca="1" si="29"/>
        <v>1</v>
      </c>
      <c r="S358" s="565" t="s">
        <v>402</v>
      </c>
    </row>
    <row r="359" spans="2:19" ht="39.950000000000003" customHeight="1" x14ac:dyDescent="0.25">
      <c r="B359" s="859">
        <v>40099</v>
      </c>
      <c r="C359" s="558" t="s">
        <v>2349</v>
      </c>
      <c r="D359" s="558"/>
      <c r="E359" s="565" t="s">
        <v>598</v>
      </c>
      <c r="F359" s="548" t="s">
        <v>599</v>
      </c>
      <c r="G359" s="559" t="s">
        <v>600</v>
      </c>
      <c r="H359" s="548" t="s">
        <v>28</v>
      </c>
      <c r="I359" s="548" t="s">
        <v>457</v>
      </c>
      <c r="J359" s="548" t="s">
        <v>458</v>
      </c>
      <c r="K359" s="560">
        <v>21090</v>
      </c>
      <c r="L359" s="561">
        <v>35.9</v>
      </c>
      <c r="M359" s="552">
        <f t="shared" si="25"/>
        <v>587.46518105849589</v>
      </c>
      <c r="N359" s="562">
        <v>60</v>
      </c>
      <c r="O359" s="563">
        <f t="shared" si="26"/>
        <v>351.5</v>
      </c>
      <c r="P359" s="564">
        <f t="shared" ca="1" si="27"/>
        <v>192</v>
      </c>
      <c r="Q359" s="552">
        <f t="shared" ca="1" si="28"/>
        <v>-46398</v>
      </c>
      <c r="R359" s="563">
        <f t="shared" ca="1" si="29"/>
        <v>1</v>
      </c>
      <c r="S359" s="565" t="s">
        <v>402</v>
      </c>
    </row>
    <row r="360" spans="2:19" ht="39.950000000000003" customHeight="1" x14ac:dyDescent="0.25">
      <c r="B360" s="859">
        <v>40099</v>
      </c>
      <c r="C360" s="558" t="s">
        <v>2349</v>
      </c>
      <c r="D360" s="558"/>
      <c r="E360" s="565" t="s">
        <v>598</v>
      </c>
      <c r="F360" s="548" t="s">
        <v>609</v>
      </c>
      <c r="G360" s="559" t="s">
        <v>600</v>
      </c>
      <c r="H360" s="548" t="s">
        <v>28</v>
      </c>
      <c r="I360" s="548" t="s">
        <v>480</v>
      </c>
      <c r="J360" s="548" t="s">
        <v>481</v>
      </c>
      <c r="K360" s="560">
        <v>21090</v>
      </c>
      <c r="L360" s="561">
        <v>35.9</v>
      </c>
      <c r="M360" s="552">
        <f t="shared" si="25"/>
        <v>587.46518105849589</v>
      </c>
      <c r="N360" s="562">
        <v>60</v>
      </c>
      <c r="O360" s="563">
        <f t="shared" si="26"/>
        <v>351.5</v>
      </c>
      <c r="P360" s="564">
        <f t="shared" ca="1" si="27"/>
        <v>192</v>
      </c>
      <c r="Q360" s="552">
        <f t="shared" ca="1" si="28"/>
        <v>-46398</v>
      </c>
      <c r="R360" s="563">
        <f t="shared" ca="1" si="29"/>
        <v>1</v>
      </c>
      <c r="S360" s="565" t="s">
        <v>402</v>
      </c>
    </row>
    <row r="361" spans="2:19" ht="39.950000000000003" customHeight="1" x14ac:dyDescent="0.25">
      <c r="B361" s="859">
        <v>40099</v>
      </c>
      <c r="C361" s="558" t="s">
        <v>2349</v>
      </c>
      <c r="D361" s="558"/>
      <c r="E361" s="565" t="s">
        <v>598</v>
      </c>
      <c r="F361" s="548" t="s">
        <v>610</v>
      </c>
      <c r="G361" s="559" t="s">
        <v>600</v>
      </c>
      <c r="H361" s="548" t="s">
        <v>28</v>
      </c>
      <c r="I361" s="548" t="s">
        <v>480</v>
      </c>
      <c r="J361" s="548" t="s">
        <v>481</v>
      </c>
      <c r="K361" s="560">
        <v>21090</v>
      </c>
      <c r="L361" s="561">
        <v>35.9</v>
      </c>
      <c r="M361" s="552">
        <f t="shared" si="25"/>
        <v>587.46518105849589</v>
      </c>
      <c r="N361" s="562">
        <v>60</v>
      </c>
      <c r="O361" s="563">
        <f t="shared" si="26"/>
        <v>351.5</v>
      </c>
      <c r="P361" s="564">
        <f t="shared" ca="1" si="27"/>
        <v>192</v>
      </c>
      <c r="Q361" s="552">
        <f t="shared" ca="1" si="28"/>
        <v>-46398</v>
      </c>
      <c r="R361" s="563">
        <f t="shared" ca="1" si="29"/>
        <v>1</v>
      </c>
      <c r="S361" s="565" t="s">
        <v>402</v>
      </c>
    </row>
    <row r="362" spans="2:19" ht="60" customHeight="1" x14ac:dyDescent="0.25">
      <c r="B362" s="859">
        <v>40099</v>
      </c>
      <c r="C362" s="558" t="s">
        <v>2349</v>
      </c>
      <c r="D362" s="558"/>
      <c r="E362" s="565" t="s">
        <v>598</v>
      </c>
      <c r="F362" s="548" t="s">
        <v>611</v>
      </c>
      <c r="G362" s="559" t="s">
        <v>600</v>
      </c>
      <c r="H362" s="548" t="s">
        <v>28</v>
      </c>
      <c r="I362" s="548" t="s">
        <v>480</v>
      </c>
      <c r="J362" s="548" t="s">
        <v>481</v>
      </c>
      <c r="K362" s="560">
        <v>21090</v>
      </c>
      <c r="L362" s="561">
        <v>35.9</v>
      </c>
      <c r="M362" s="552">
        <f t="shared" si="25"/>
        <v>587.46518105849589</v>
      </c>
      <c r="N362" s="562">
        <v>60</v>
      </c>
      <c r="O362" s="563">
        <f t="shared" si="26"/>
        <v>351.5</v>
      </c>
      <c r="P362" s="564">
        <f t="shared" ca="1" si="27"/>
        <v>192</v>
      </c>
      <c r="Q362" s="552">
        <f t="shared" ca="1" si="28"/>
        <v>-46398</v>
      </c>
      <c r="R362" s="563">
        <f t="shared" ca="1" si="29"/>
        <v>1</v>
      </c>
      <c r="S362" s="565" t="s">
        <v>402</v>
      </c>
    </row>
    <row r="363" spans="2:19" ht="60" customHeight="1" x14ac:dyDescent="0.25">
      <c r="B363" s="859">
        <v>40099</v>
      </c>
      <c r="C363" s="558" t="s">
        <v>2349</v>
      </c>
      <c r="D363" s="558"/>
      <c r="E363" s="565" t="s">
        <v>598</v>
      </c>
      <c r="F363" s="548" t="s">
        <v>615</v>
      </c>
      <c r="G363" s="559" t="s">
        <v>600</v>
      </c>
      <c r="H363" s="548" t="s">
        <v>28</v>
      </c>
      <c r="I363" s="548" t="s">
        <v>487</v>
      </c>
      <c r="J363" s="548" t="s">
        <v>488</v>
      </c>
      <c r="K363" s="560">
        <v>21090</v>
      </c>
      <c r="L363" s="561">
        <v>35.9</v>
      </c>
      <c r="M363" s="552">
        <f t="shared" si="25"/>
        <v>587.46518105849589</v>
      </c>
      <c r="N363" s="562">
        <v>60</v>
      </c>
      <c r="O363" s="563">
        <f t="shared" si="26"/>
        <v>351.5</v>
      </c>
      <c r="P363" s="564">
        <f t="shared" ca="1" si="27"/>
        <v>192</v>
      </c>
      <c r="Q363" s="552">
        <f t="shared" ca="1" si="28"/>
        <v>-46398</v>
      </c>
      <c r="R363" s="563">
        <f t="shared" ca="1" si="29"/>
        <v>1</v>
      </c>
      <c r="S363" s="565" t="s">
        <v>402</v>
      </c>
    </row>
    <row r="364" spans="2:19" ht="60" customHeight="1" x14ac:dyDescent="0.25">
      <c r="B364" s="859">
        <v>40099</v>
      </c>
      <c r="C364" s="558" t="s">
        <v>2349</v>
      </c>
      <c r="D364" s="558"/>
      <c r="E364" s="565" t="s">
        <v>598</v>
      </c>
      <c r="F364" s="548" t="s">
        <v>620</v>
      </c>
      <c r="G364" s="559" t="s">
        <v>600</v>
      </c>
      <c r="H364" s="548" t="s">
        <v>28</v>
      </c>
      <c r="I364" s="548" t="s">
        <v>67</v>
      </c>
      <c r="J364" s="548" t="s">
        <v>507</v>
      </c>
      <c r="K364" s="566">
        <v>21090</v>
      </c>
      <c r="L364" s="561">
        <v>35.9</v>
      </c>
      <c r="M364" s="552">
        <f t="shared" si="25"/>
        <v>587.46518105849589</v>
      </c>
      <c r="N364" s="526">
        <v>60</v>
      </c>
      <c r="O364" s="563">
        <f t="shared" si="26"/>
        <v>351.5</v>
      </c>
      <c r="P364" s="564">
        <f t="shared" ca="1" si="27"/>
        <v>192</v>
      </c>
      <c r="Q364" s="552">
        <f t="shared" ca="1" si="28"/>
        <v>-46398</v>
      </c>
      <c r="R364" s="563">
        <f t="shared" ca="1" si="29"/>
        <v>1</v>
      </c>
      <c r="S364" s="565" t="s">
        <v>402</v>
      </c>
    </row>
    <row r="365" spans="2:19" ht="60" customHeight="1" x14ac:dyDescent="0.25">
      <c r="B365" s="859">
        <v>40099</v>
      </c>
      <c r="C365" s="558" t="s">
        <v>2349</v>
      </c>
      <c r="D365" s="558"/>
      <c r="E365" s="565" t="s">
        <v>598</v>
      </c>
      <c r="F365" s="548" t="s">
        <v>621</v>
      </c>
      <c r="G365" s="559" t="s">
        <v>600</v>
      </c>
      <c r="H365" s="548" t="s">
        <v>28</v>
      </c>
      <c r="I365" s="548" t="s">
        <v>67</v>
      </c>
      <c r="J365" s="548" t="s">
        <v>507</v>
      </c>
      <c r="K365" s="566">
        <v>21090</v>
      </c>
      <c r="L365" s="561">
        <v>35.9</v>
      </c>
      <c r="M365" s="552">
        <f t="shared" si="25"/>
        <v>587.46518105849589</v>
      </c>
      <c r="N365" s="526">
        <v>60</v>
      </c>
      <c r="O365" s="563">
        <f t="shared" si="26"/>
        <v>351.5</v>
      </c>
      <c r="P365" s="564">
        <f t="shared" ca="1" si="27"/>
        <v>192</v>
      </c>
      <c r="Q365" s="552">
        <f t="shared" ca="1" si="28"/>
        <v>-46398</v>
      </c>
      <c r="R365" s="563">
        <f t="shared" ca="1" si="29"/>
        <v>1</v>
      </c>
      <c r="S365" s="565" t="s">
        <v>402</v>
      </c>
    </row>
    <row r="366" spans="2:19" ht="60" customHeight="1" x14ac:dyDescent="0.25">
      <c r="B366" s="859">
        <v>40100</v>
      </c>
      <c r="C366" s="558" t="s">
        <v>2349</v>
      </c>
      <c r="D366" s="558"/>
      <c r="E366" s="565" t="s">
        <v>598</v>
      </c>
      <c r="F366" s="548" t="s">
        <v>618</v>
      </c>
      <c r="G366" s="559" t="s">
        <v>511</v>
      </c>
      <c r="H366" s="548" t="s">
        <v>28</v>
      </c>
      <c r="I366" s="548" t="s">
        <v>67</v>
      </c>
      <c r="J366" s="548" t="s">
        <v>497</v>
      </c>
      <c r="K366" s="560">
        <v>19500</v>
      </c>
      <c r="L366" s="561">
        <v>35.9</v>
      </c>
      <c r="M366" s="552">
        <f t="shared" si="25"/>
        <v>543.17548746518105</v>
      </c>
      <c r="N366" s="562">
        <v>60</v>
      </c>
      <c r="O366" s="563">
        <f t="shared" si="26"/>
        <v>325</v>
      </c>
      <c r="P366" s="564">
        <f t="shared" ca="1" si="27"/>
        <v>192</v>
      </c>
      <c r="Q366" s="552">
        <f t="shared" ca="1" si="28"/>
        <v>-42900</v>
      </c>
      <c r="R366" s="563">
        <f t="shared" ca="1" si="29"/>
        <v>1</v>
      </c>
      <c r="S366" s="565" t="s">
        <v>402</v>
      </c>
    </row>
    <row r="367" spans="2:19" ht="60" customHeight="1" x14ac:dyDescent="0.25">
      <c r="B367" s="859">
        <v>40113</v>
      </c>
      <c r="C367" s="558" t="s">
        <v>2349</v>
      </c>
      <c r="D367" s="558"/>
      <c r="E367" s="565" t="s">
        <v>628</v>
      </c>
      <c r="F367" s="548" t="s">
        <v>638</v>
      </c>
      <c r="G367" s="559" t="s">
        <v>423</v>
      </c>
      <c r="H367" s="548" t="s">
        <v>28</v>
      </c>
      <c r="I367" s="548" t="s">
        <v>477</v>
      </c>
      <c r="J367" s="548" t="s">
        <v>478</v>
      </c>
      <c r="K367" s="560">
        <v>2767.9702381797028</v>
      </c>
      <c r="L367" s="561">
        <v>35.9</v>
      </c>
      <c r="M367" s="552">
        <f t="shared" si="25"/>
        <v>77.10223504678838</v>
      </c>
      <c r="N367" s="562">
        <v>60</v>
      </c>
      <c r="O367" s="563">
        <f t="shared" si="26"/>
        <v>46.13283730299505</v>
      </c>
      <c r="P367" s="564">
        <f t="shared" ca="1" si="27"/>
        <v>191</v>
      </c>
      <c r="Q367" s="552">
        <f t="shared" ca="1" si="28"/>
        <v>-6043.4016866923521</v>
      </c>
      <c r="R367" s="563">
        <f t="shared" ca="1" si="29"/>
        <v>1</v>
      </c>
      <c r="S367" s="565" t="s">
        <v>630</v>
      </c>
    </row>
    <row r="368" spans="2:19" ht="60" customHeight="1" x14ac:dyDescent="0.25">
      <c r="B368" s="859">
        <v>40113</v>
      </c>
      <c r="C368" s="558" t="s">
        <v>2349</v>
      </c>
      <c r="D368" s="558"/>
      <c r="E368" s="565" t="s">
        <v>628</v>
      </c>
      <c r="F368" s="548" t="s">
        <v>651</v>
      </c>
      <c r="G368" s="559" t="s">
        <v>423</v>
      </c>
      <c r="H368" s="548" t="s">
        <v>28</v>
      </c>
      <c r="I368" s="548" t="s">
        <v>487</v>
      </c>
      <c r="J368" s="548" t="s">
        <v>488</v>
      </c>
      <c r="K368" s="560">
        <v>2767.9702381797028</v>
      </c>
      <c r="L368" s="561">
        <v>35.9</v>
      </c>
      <c r="M368" s="552">
        <f t="shared" si="25"/>
        <v>77.10223504678838</v>
      </c>
      <c r="N368" s="562">
        <v>60</v>
      </c>
      <c r="O368" s="563">
        <f t="shared" si="26"/>
        <v>46.13283730299505</v>
      </c>
      <c r="P368" s="564">
        <f t="shared" ca="1" si="27"/>
        <v>191</v>
      </c>
      <c r="Q368" s="552">
        <f t="shared" ca="1" si="28"/>
        <v>-6043.4016866923521</v>
      </c>
      <c r="R368" s="563">
        <f t="shared" ca="1" si="29"/>
        <v>1</v>
      </c>
      <c r="S368" s="565" t="s">
        <v>630</v>
      </c>
    </row>
    <row r="369" spans="2:19" ht="39.950000000000003" customHeight="1" x14ac:dyDescent="0.25">
      <c r="B369" s="859">
        <v>40113</v>
      </c>
      <c r="C369" s="558" t="s">
        <v>2349</v>
      </c>
      <c r="D369" s="558"/>
      <c r="E369" s="565" t="s">
        <v>628</v>
      </c>
      <c r="F369" s="548" t="s">
        <v>636</v>
      </c>
      <c r="G369" s="559" t="s">
        <v>398</v>
      </c>
      <c r="H369" s="548" t="s">
        <v>28</v>
      </c>
      <c r="I369" s="548" t="s">
        <v>607</v>
      </c>
      <c r="J369" s="548" t="s">
        <v>608</v>
      </c>
      <c r="K369" s="560">
        <v>27359.724306841039</v>
      </c>
      <c r="L369" s="561">
        <v>35.9</v>
      </c>
      <c r="M369" s="552">
        <f t="shared" si="25"/>
        <v>762.10931216827407</v>
      </c>
      <c r="N369" s="562">
        <v>60</v>
      </c>
      <c r="O369" s="563">
        <f t="shared" si="26"/>
        <v>455.99540511401733</v>
      </c>
      <c r="P369" s="564">
        <f t="shared" ca="1" si="27"/>
        <v>191</v>
      </c>
      <c r="Q369" s="552">
        <f t="shared" ca="1" si="28"/>
        <v>-59735.398069936266</v>
      </c>
      <c r="R369" s="563">
        <f t="shared" ca="1" si="29"/>
        <v>1</v>
      </c>
      <c r="S369" s="565" t="s">
        <v>396</v>
      </c>
    </row>
    <row r="370" spans="2:19" ht="39.950000000000003" customHeight="1" x14ac:dyDescent="0.25">
      <c r="B370" s="859">
        <v>40113</v>
      </c>
      <c r="C370" s="558" t="s">
        <v>2349</v>
      </c>
      <c r="D370" s="558"/>
      <c r="E370" s="565" t="s">
        <v>628</v>
      </c>
      <c r="F370" s="548" t="s">
        <v>640</v>
      </c>
      <c r="G370" s="559" t="s">
        <v>641</v>
      </c>
      <c r="H370" s="548" t="s">
        <v>28</v>
      </c>
      <c r="I370" s="548" t="s">
        <v>480</v>
      </c>
      <c r="J370" s="548" t="s">
        <v>481</v>
      </c>
      <c r="K370" s="560">
        <v>8295.6542131795995</v>
      </c>
      <c r="L370" s="561">
        <v>35.9</v>
      </c>
      <c r="M370" s="552">
        <f t="shared" si="25"/>
        <v>231.07671903007241</v>
      </c>
      <c r="N370" s="562">
        <v>60</v>
      </c>
      <c r="O370" s="563">
        <f t="shared" si="26"/>
        <v>138.26090355299331</v>
      </c>
      <c r="P370" s="564">
        <f t="shared" ca="1" si="27"/>
        <v>191</v>
      </c>
      <c r="Q370" s="552">
        <f t="shared" ca="1" si="28"/>
        <v>-18112.178365442123</v>
      </c>
      <c r="R370" s="563">
        <f t="shared" ca="1" si="29"/>
        <v>1</v>
      </c>
      <c r="S370" s="565" t="s">
        <v>630</v>
      </c>
    </row>
    <row r="371" spans="2:19" ht="39.950000000000003" customHeight="1" x14ac:dyDescent="0.25">
      <c r="B371" s="859">
        <v>40113</v>
      </c>
      <c r="C371" s="558" t="s">
        <v>2349</v>
      </c>
      <c r="D371" s="558"/>
      <c r="E371" s="565" t="s">
        <v>628</v>
      </c>
      <c r="F371" s="548" t="s">
        <v>650</v>
      </c>
      <c r="G371" s="559" t="s">
        <v>641</v>
      </c>
      <c r="H371" s="548" t="s">
        <v>28</v>
      </c>
      <c r="I371" s="548" t="s">
        <v>487</v>
      </c>
      <c r="J371" s="548" t="s">
        <v>488</v>
      </c>
      <c r="K371" s="560">
        <v>8295.6542131795995</v>
      </c>
      <c r="L371" s="561">
        <v>35.9</v>
      </c>
      <c r="M371" s="552">
        <f t="shared" si="25"/>
        <v>231.07671903007241</v>
      </c>
      <c r="N371" s="562">
        <v>60</v>
      </c>
      <c r="O371" s="563">
        <f t="shared" si="26"/>
        <v>138.26090355299331</v>
      </c>
      <c r="P371" s="564">
        <f t="shared" ca="1" si="27"/>
        <v>191</v>
      </c>
      <c r="Q371" s="552">
        <f t="shared" ca="1" si="28"/>
        <v>-18112.178365442123</v>
      </c>
      <c r="R371" s="563">
        <f t="shared" ca="1" si="29"/>
        <v>1</v>
      </c>
      <c r="S371" s="565" t="s">
        <v>630</v>
      </c>
    </row>
    <row r="372" spans="2:19" ht="39.950000000000003" customHeight="1" x14ac:dyDescent="0.25">
      <c r="B372" s="859">
        <v>40113</v>
      </c>
      <c r="C372" s="558" t="s">
        <v>2349</v>
      </c>
      <c r="D372" s="558"/>
      <c r="E372" s="565" t="s">
        <v>628</v>
      </c>
      <c r="F372" s="548" t="s">
        <v>634</v>
      </c>
      <c r="G372" s="559" t="s">
        <v>407</v>
      </c>
      <c r="H372" s="548" t="s">
        <v>28</v>
      </c>
      <c r="I372" s="548" t="s">
        <v>466</v>
      </c>
      <c r="J372" s="548" t="s">
        <v>467</v>
      </c>
      <c r="K372" s="560">
        <v>5063.9875004997684</v>
      </c>
      <c r="L372" s="561">
        <v>35.9</v>
      </c>
      <c r="M372" s="552">
        <f t="shared" si="25"/>
        <v>141.0581476462331</v>
      </c>
      <c r="N372" s="562">
        <v>60</v>
      </c>
      <c r="O372" s="563">
        <f t="shared" si="26"/>
        <v>84.399791674996138</v>
      </c>
      <c r="P372" s="564">
        <f t="shared" ca="1" si="27"/>
        <v>191</v>
      </c>
      <c r="Q372" s="552">
        <f t="shared" ca="1" si="28"/>
        <v>-11056.372709424493</v>
      </c>
      <c r="R372" s="563">
        <f t="shared" ca="1" si="29"/>
        <v>1</v>
      </c>
      <c r="S372" s="565" t="s">
        <v>630</v>
      </c>
    </row>
    <row r="373" spans="2:19" ht="39.950000000000003" customHeight="1" x14ac:dyDescent="0.25">
      <c r="B373" s="859">
        <v>40113</v>
      </c>
      <c r="C373" s="558" t="s">
        <v>2349</v>
      </c>
      <c r="D373" s="558"/>
      <c r="E373" s="565" t="s">
        <v>628</v>
      </c>
      <c r="F373" s="548" t="s">
        <v>649</v>
      </c>
      <c r="G373" s="559" t="s">
        <v>407</v>
      </c>
      <c r="H373" s="548" t="s">
        <v>28</v>
      </c>
      <c r="I373" s="548" t="s">
        <v>487</v>
      </c>
      <c r="J373" s="548" t="s">
        <v>488</v>
      </c>
      <c r="K373" s="560">
        <v>5063.9875004997684</v>
      </c>
      <c r="L373" s="561">
        <v>35.9</v>
      </c>
      <c r="M373" s="552">
        <f t="shared" si="25"/>
        <v>141.0581476462331</v>
      </c>
      <c r="N373" s="562">
        <v>60</v>
      </c>
      <c r="O373" s="563">
        <f t="shared" si="26"/>
        <v>84.399791674996138</v>
      </c>
      <c r="P373" s="564">
        <f t="shared" ca="1" si="27"/>
        <v>191</v>
      </c>
      <c r="Q373" s="552">
        <f t="shared" ca="1" si="28"/>
        <v>-11056.372709424493</v>
      </c>
      <c r="R373" s="563">
        <f t="shared" ca="1" si="29"/>
        <v>1</v>
      </c>
      <c r="S373" s="565" t="s">
        <v>630</v>
      </c>
    </row>
    <row r="374" spans="2:19" ht="39.950000000000003" customHeight="1" x14ac:dyDescent="0.25">
      <c r="B374" s="859">
        <v>40113</v>
      </c>
      <c r="C374" s="558" t="s">
        <v>2349</v>
      </c>
      <c r="D374" s="558"/>
      <c r="E374" s="565" t="s">
        <v>628</v>
      </c>
      <c r="F374" s="548" t="s">
        <v>662</v>
      </c>
      <c r="G374" s="559" t="s">
        <v>407</v>
      </c>
      <c r="H374" s="548" t="s">
        <v>28</v>
      </c>
      <c r="I374" s="548" t="s">
        <v>67</v>
      </c>
      <c r="J374" s="548" t="s">
        <v>497</v>
      </c>
      <c r="K374" s="560">
        <v>5063.9875004997684</v>
      </c>
      <c r="L374" s="561">
        <v>35.9</v>
      </c>
      <c r="M374" s="552">
        <f t="shared" si="25"/>
        <v>141.0581476462331</v>
      </c>
      <c r="N374" s="562">
        <v>60</v>
      </c>
      <c r="O374" s="563">
        <f t="shared" si="26"/>
        <v>84.399791674996138</v>
      </c>
      <c r="P374" s="564">
        <f t="shared" ca="1" si="27"/>
        <v>191</v>
      </c>
      <c r="Q374" s="552">
        <f t="shared" ca="1" si="28"/>
        <v>-11056.372709424493</v>
      </c>
      <c r="R374" s="563">
        <f t="shared" ca="1" si="29"/>
        <v>1</v>
      </c>
      <c r="S374" s="565" t="s">
        <v>630</v>
      </c>
    </row>
    <row r="375" spans="2:19" ht="39.950000000000003" customHeight="1" x14ac:dyDescent="0.25">
      <c r="B375" s="859">
        <v>40113</v>
      </c>
      <c r="C375" s="558" t="s">
        <v>2349</v>
      </c>
      <c r="D375" s="558"/>
      <c r="E375" s="565" t="s">
        <v>628</v>
      </c>
      <c r="F375" s="548" t="s">
        <v>663</v>
      </c>
      <c r="G375" s="559" t="s">
        <v>407</v>
      </c>
      <c r="H375" s="548" t="s">
        <v>28</v>
      </c>
      <c r="I375" s="548" t="s">
        <v>67</v>
      </c>
      <c r="J375" s="548" t="s">
        <v>497</v>
      </c>
      <c r="K375" s="560">
        <v>5063.9875004997684</v>
      </c>
      <c r="L375" s="561">
        <v>35.9</v>
      </c>
      <c r="M375" s="552">
        <f t="shared" si="25"/>
        <v>141.0581476462331</v>
      </c>
      <c r="N375" s="562">
        <v>60</v>
      </c>
      <c r="O375" s="563">
        <f t="shared" si="26"/>
        <v>84.399791674996138</v>
      </c>
      <c r="P375" s="564">
        <f t="shared" ca="1" si="27"/>
        <v>191</v>
      </c>
      <c r="Q375" s="552">
        <f t="shared" ca="1" si="28"/>
        <v>-11056.372709424493</v>
      </c>
      <c r="R375" s="563">
        <f t="shared" ca="1" si="29"/>
        <v>1</v>
      </c>
      <c r="S375" s="565" t="s">
        <v>630</v>
      </c>
    </row>
    <row r="376" spans="2:19" ht="39.950000000000003" customHeight="1" x14ac:dyDescent="0.25">
      <c r="B376" s="859">
        <v>40113</v>
      </c>
      <c r="C376" s="558" t="s">
        <v>2349</v>
      </c>
      <c r="D376" s="558"/>
      <c r="E376" s="565" t="s">
        <v>628</v>
      </c>
      <c r="F376" s="548" t="s">
        <v>665</v>
      </c>
      <c r="G376" s="559" t="s">
        <v>407</v>
      </c>
      <c r="H376" s="548" t="s">
        <v>28</v>
      </c>
      <c r="I376" s="548" t="s">
        <v>23</v>
      </c>
      <c r="J376" s="548" t="s">
        <v>24</v>
      </c>
      <c r="K376" s="560">
        <v>5063.9875004997684</v>
      </c>
      <c r="L376" s="561">
        <v>35.9</v>
      </c>
      <c r="M376" s="552">
        <f t="shared" si="25"/>
        <v>141.0581476462331</v>
      </c>
      <c r="N376" s="562">
        <v>60</v>
      </c>
      <c r="O376" s="563">
        <f t="shared" si="26"/>
        <v>84.399791674996138</v>
      </c>
      <c r="P376" s="564">
        <f t="shared" ca="1" si="27"/>
        <v>191</v>
      </c>
      <c r="Q376" s="552">
        <f t="shared" ca="1" si="28"/>
        <v>-11056.372709424493</v>
      </c>
      <c r="R376" s="563">
        <f t="shared" ca="1" si="29"/>
        <v>1</v>
      </c>
      <c r="S376" s="565" t="s">
        <v>630</v>
      </c>
    </row>
    <row r="377" spans="2:19" ht="39.950000000000003" customHeight="1" x14ac:dyDescent="0.25">
      <c r="B377" s="859">
        <v>40113</v>
      </c>
      <c r="C377" s="558" t="s">
        <v>2349</v>
      </c>
      <c r="D377" s="558"/>
      <c r="E377" s="565" t="s">
        <v>628</v>
      </c>
      <c r="F377" s="548" t="s">
        <v>661</v>
      </c>
      <c r="G377" s="559" t="s">
        <v>522</v>
      </c>
      <c r="H377" s="548" t="s">
        <v>28</v>
      </c>
      <c r="I377" s="548" t="s">
        <v>67</v>
      </c>
      <c r="J377" s="548" t="s">
        <v>497</v>
      </c>
      <c r="K377" s="560">
        <v>7990.4585379262644</v>
      </c>
      <c r="L377" s="561">
        <v>35.9</v>
      </c>
      <c r="M377" s="552">
        <f t="shared" si="25"/>
        <v>222.57544673889316</v>
      </c>
      <c r="N377" s="562">
        <v>60</v>
      </c>
      <c r="O377" s="563">
        <f t="shared" si="26"/>
        <v>133.17430896543775</v>
      </c>
      <c r="P377" s="564">
        <f t="shared" ca="1" si="27"/>
        <v>191</v>
      </c>
      <c r="Q377" s="552">
        <f t="shared" ca="1" si="28"/>
        <v>-17445.834474472344</v>
      </c>
      <c r="R377" s="563">
        <f t="shared" ca="1" si="29"/>
        <v>1</v>
      </c>
      <c r="S377" s="565" t="s">
        <v>630</v>
      </c>
    </row>
    <row r="378" spans="2:19" ht="39.950000000000003" customHeight="1" x14ac:dyDescent="0.25">
      <c r="B378" s="859">
        <v>40113</v>
      </c>
      <c r="C378" s="558" t="s">
        <v>2349</v>
      </c>
      <c r="D378" s="558"/>
      <c r="E378" s="565" t="s">
        <v>628</v>
      </c>
      <c r="F378" s="548" t="s">
        <v>632</v>
      </c>
      <c r="G378" s="559" t="s">
        <v>633</v>
      </c>
      <c r="H378" s="548" t="s">
        <v>28</v>
      </c>
      <c r="I378" s="548" t="s">
        <v>466</v>
      </c>
      <c r="J378" s="548" t="s">
        <v>467</v>
      </c>
      <c r="K378" s="560">
        <v>4430.9890629372967</v>
      </c>
      <c r="L378" s="561">
        <v>35.9</v>
      </c>
      <c r="M378" s="552">
        <f t="shared" si="25"/>
        <v>123.42587919045395</v>
      </c>
      <c r="N378" s="562">
        <v>60</v>
      </c>
      <c r="O378" s="563">
        <f t="shared" si="26"/>
        <v>73.849817715621612</v>
      </c>
      <c r="P378" s="564">
        <f t="shared" ca="1" si="27"/>
        <v>191</v>
      </c>
      <c r="Q378" s="552">
        <f t="shared" ca="1" si="28"/>
        <v>-9674.3261207464311</v>
      </c>
      <c r="R378" s="563">
        <f t="shared" ca="1" si="29"/>
        <v>1</v>
      </c>
      <c r="S378" s="565" t="s">
        <v>630</v>
      </c>
    </row>
    <row r="379" spans="2:19" ht="39.950000000000003" customHeight="1" x14ac:dyDescent="0.25">
      <c r="B379" s="859">
        <v>40113</v>
      </c>
      <c r="C379" s="558" t="s">
        <v>2349</v>
      </c>
      <c r="D379" s="558"/>
      <c r="E379" s="565" t="s">
        <v>628</v>
      </c>
      <c r="F379" s="548" t="s">
        <v>637</v>
      </c>
      <c r="G379" s="559" t="s">
        <v>633</v>
      </c>
      <c r="H379" s="548" t="s">
        <v>28</v>
      </c>
      <c r="I379" s="548" t="s">
        <v>607</v>
      </c>
      <c r="J379" s="548" t="s">
        <v>608</v>
      </c>
      <c r="K379" s="560">
        <v>4430.9890629372967</v>
      </c>
      <c r="L379" s="561">
        <v>35.9</v>
      </c>
      <c r="M379" s="552">
        <f t="shared" si="25"/>
        <v>123.42587919045395</v>
      </c>
      <c r="N379" s="562">
        <v>60</v>
      </c>
      <c r="O379" s="563">
        <f t="shared" si="26"/>
        <v>73.849817715621612</v>
      </c>
      <c r="P379" s="564">
        <f t="shared" ca="1" si="27"/>
        <v>191</v>
      </c>
      <c r="Q379" s="552">
        <f t="shared" ca="1" si="28"/>
        <v>-9674.3261207464311</v>
      </c>
      <c r="R379" s="563">
        <f t="shared" ca="1" si="29"/>
        <v>1</v>
      </c>
      <c r="S379" s="565" t="s">
        <v>630</v>
      </c>
    </row>
    <row r="380" spans="2:19" ht="39.950000000000003" customHeight="1" x14ac:dyDescent="0.25">
      <c r="B380" s="859">
        <v>40113</v>
      </c>
      <c r="C380" s="558" t="s">
        <v>2349</v>
      </c>
      <c r="D380" s="558"/>
      <c r="E380" s="565" t="s">
        <v>623</v>
      </c>
      <c r="F380" s="548" t="s">
        <v>624</v>
      </c>
      <c r="G380" s="559" t="s">
        <v>625</v>
      </c>
      <c r="H380" s="548" t="s">
        <v>28</v>
      </c>
      <c r="I380" s="548" t="s">
        <v>457</v>
      </c>
      <c r="J380" s="548" t="s">
        <v>458</v>
      </c>
      <c r="K380" s="560">
        <v>1170.1079583803903</v>
      </c>
      <c r="L380" s="561">
        <v>35.9</v>
      </c>
      <c r="M380" s="552">
        <f t="shared" si="25"/>
        <v>32.593536445136223</v>
      </c>
      <c r="N380" s="562">
        <v>60</v>
      </c>
      <c r="O380" s="563">
        <f t="shared" si="26"/>
        <v>19.501799306339837</v>
      </c>
      <c r="P380" s="564">
        <f t="shared" ca="1" si="27"/>
        <v>191</v>
      </c>
      <c r="Q380" s="552">
        <f t="shared" ca="1" si="28"/>
        <v>-2554.7357091305184</v>
      </c>
      <c r="R380" s="563">
        <f t="shared" ca="1" si="29"/>
        <v>1</v>
      </c>
      <c r="S380" s="565" t="s">
        <v>396</v>
      </c>
    </row>
    <row r="381" spans="2:19" ht="39.950000000000003" customHeight="1" x14ac:dyDescent="0.25">
      <c r="B381" s="859">
        <v>40113</v>
      </c>
      <c r="C381" s="558" t="s">
        <v>2349</v>
      </c>
      <c r="D381" s="558"/>
      <c r="E381" s="565" t="s">
        <v>623</v>
      </c>
      <c r="F381" s="548" t="s">
        <v>627</v>
      </c>
      <c r="G381" s="559" t="s">
        <v>625</v>
      </c>
      <c r="H381" s="548" t="s">
        <v>28</v>
      </c>
      <c r="I381" s="548" t="s">
        <v>466</v>
      </c>
      <c r="J381" s="548" t="s">
        <v>467</v>
      </c>
      <c r="K381" s="560">
        <v>1170.1079583803903</v>
      </c>
      <c r="L381" s="561">
        <v>35.9</v>
      </c>
      <c r="M381" s="552">
        <f t="shared" si="25"/>
        <v>32.593536445136223</v>
      </c>
      <c r="N381" s="562">
        <v>60</v>
      </c>
      <c r="O381" s="563">
        <f t="shared" si="26"/>
        <v>19.501799306339837</v>
      </c>
      <c r="P381" s="564">
        <f t="shared" ca="1" si="27"/>
        <v>191</v>
      </c>
      <c r="Q381" s="552">
        <f t="shared" ca="1" si="28"/>
        <v>-2554.7357091305184</v>
      </c>
      <c r="R381" s="563">
        <f t="shared" ca="1" si="29"/>
        <v>1</v>
      </c>
      <c r="S381" s="565" t="s">
        <v>396</v>
      </c>
    </row>
    <row r="382" spans="2:19" ht="39.950000000000003" customHeight="1" x14ac:dyDescent="0.25">
      <c r="B382" s="859">
        <v>40113</v>
      </c>
      <c r="C382" s="558" t="s">
        <v>2349</v>
      </c>
      <c r="D382" s="558"/>
      <c r="E382" s="565" t="s">
        <v>628</v>
      </c>
      <c r="F382" s="548" t="s">
        <v>639</v>
      </c>
      <c r="G382" s="559" t="s">
        <v>625</v>
      </c>
      <c r="H382" s="548" t="s">
        <v>28</v>
      </c>
      <c r="I382" s="548" t="s">
        <v>480</v>
      </c>
      <c r="J382" s="548" t="s">
        <v>481</v>
      </c>
      <c r="K382" s="560">
        <v>1170.1079583803903</v>
      </c>
      <c r="L382" s="561">
        <v>35.9</v>
      </c>
      <c r="M382" s="552">
        <f t="shared" si="25"/>
        <v>32.593536445136223</v>
      </c>
      <c r="N382" s="562">
        <v>60</v>
      </c>
      <c r="O382" s="563">
        <f t="shared" si="26"/>
        <v>19.501799306339837</v>
      </c>
      <c r="P382" s="564">
        <f t="shared" ca="1" si="27"/>
        <v>191</v>
      </c>
      <c r="Q382" s="552">
        <f t="shared" ca="1" si="28"/>
        <v>-2554.7357091305184</v>
      </c>
      <c r="R382" s="563">
        <f t="shared" ca="1" si="29"/>
        <v>1</v>
      </c>
      <c r="S382" s="565" t="s">
        <v>396</v>
      </c>
    </row>
    <row r="383" spans="2:19" ht="39.950000000000003" customHeight="1" x14ac:dyDescent="0.25">
      <c r="B383" s="859">
        <v>40113</v>
      </c>
      <c r="C383" s="558" t="s">
        <v>2349</v>
      </c>
      <c r="D383" s="558"/>
      <c r="E383" s="565" t="s">
        <v>628</v>
      </c>
      <c r="F383" s="548" t="s">
        <v>642</v>
      </c>
      <c r="G383" s="559" t="s">
        <v>625</v>
      </c>
      <c r="H383" s="548" t="s">
        <v>28</v>
      </c>
      <c r="I383" s="548" t="s">
        <v>487</v>
      </c>
      <c r="J383" s="548" t="s">
        <v>488</v>
      </c>
      <c r="K383" s="560">
        <v>1170.1079583803903</v>
      </c>
      <c r="L383" s="561">
        <v>35.9</v>
      </c>
      <c r="M383" s="552">
        <f t="shared" si="25"/>
        <v>32.593536445136223</v>
      </c>
      <c r="N383" s="562">
        <v>60</v>
      </c>
      <c r="O383" s="563">
        <f t="shared" si="26"/>
        <v>19.501799306339837</v>
      </c>
      <c r="P383" s="564">
        <f t="shared" ca="1" si="27"/>
        <v>191</v>
      </c>
      <c r="Q383" s="552">
        <f t="shared" ca="1" si="28"/>
        <v>-2554.7357091305184</v>
      </c>
      <c r="R383" s="563">
        <f t="shared" ca="1" si="29"/>
        <v>1</v>
      </c>
      <c r="S383" s="565" t="s">
        <v>396</v>
      </c>
    </row>
    <row r="384" spans="2:19" ht="39.950000000000003" customHeight="1" x14ac:dyDescent="0.25">
      <c r="B384" s="859">
        <v>40113</v>
      </c>
      <c r="C384" s="558" t="s">
        <v>2349</v>
      </c>
      <c r="D384" s="558"/>
      <c r="E384" s="565" t="s">
        <v>628</v>
      </c>
      <c r="F384" s="548" t="s">
        <v>643</v>
      </c>
      <c r="G384" s="559" t="s">
        <v>625</v>
      </c>
      <c r="H384" s="548" t="s">
        <v>28</v>
      </c>
      <c r="I384" s="548" t="s">
        <v>487</v>
      </c>
      <c r="J384" s="548" t="s">
        <v>488</v>
      </c>
      <c r="K384" s="560">
        <v>1170.1079583803903</v>
      </c>
      <c r="L384" s="561">
        <v>35.9</v>
      </c>
      <c r="M384" s="552">
        <f t="shared" si="25"/>
        <v>32.593536445136223</v>
      </c>
      <c r="N384" s="562">
        <v>60</v>
      </c>
      <c r="O384" s="563">
        <f t="shared" si="26"/>
        <v>19.501799306339837</v>
      </c>
      <c r="P384" s="564">
        <f t="shared" ca="1" si="27"/>
        <v>191</v>
      </c>
      <c r="Q384" s="552">
        <f t="shared" ca="1" si="28"/>
        <v>-2554.7357091305184</v>
      </c>
      <c r="R384" s="563">
        <f t="shared" ca="1" si="29"/>
        <v>1</v>
      </c>
      <c r="S384" s="565" t="s">
        <v>396</v>
      </c>
    </row>
    <row r="385" spans="2:19" ht="39.950000000000003" customHeight="1" x14ac:dyDescent="0.25">
      <c r="B385" s="859">
        <v>40113</v>
      </c>
      <c r="C385" s="558" t="s">
        <v>2349</v>
      </c>
      <c r="D385" s="558"/>
      <c r="E385" s="565" t="s">
        <v>628</v>
      </c>
      <c r="F385" s="548" t="s">
        <v>654</v>
      </c>
      <c r="G385" s="559" t="s">
        <v>625</v>
      </c>
      <c r="H385" s="548" t="s">
        <v>28</v>
      </c>
      <c r="I385" s="548" t="s">
        <v>67</v>
      </c>
      <c r="J385" s="548" t="s">
        <v>497</v>
      </c>
      <c r="K385" s="560">
        <v>1170.1079583803903</v>
      </c>
      <c r="L385" s="561">
        <v>35.9</v>
      </c>
      <c r="M385" s="552">
        <f t="shared" si="25"/>
        <v>32.593536445136223</v>
      </c>
      <c r="N385" s="562">
        <v>60</v>
      </c>
      <c r="O385" s="563">
        <f t="shared" si="26"/>
        <v>19.501799306339837</v>
      </c>
      <c r="P385" s="564">
        <f t="shared" ca="1" si="27"/>
        <v>191</v>
      </c>
      <c r="Q385" s="552">
        <f t="shared" ca="1" si="28"/>
        <v>-2554.7357091305184</v>
      </c>
      <c r="R385" s="563">
        <f t="shared" ca="1" si="29"/>
        <v>1</v>
      </c>
      <c r="S385" s="565" t="s">
        <v>396</v>
      </c>
    </row>
    <row r="386" spans="2:19" ht="39.950000000000003" customHeight="1" x14ac:dyDescent="0.25">
      <c r="B386" s="859">
        <v>40113</v>
      </c>
      <c r="C386" s="558" t="s">
        <v>2349</v>
      </c>
      <c r="D386" s="558"/>
      <c r="E386" s="565" t="s">
        <v>628</v>
      </c>
      <c r="F386" s="548" t="s">
        <v>655</v>
      </c>
      <c r="G386" s="559" t="s">
        <v>625</v>
      </c>
      <c r="H386" s="548" t="s">
        <v>28</v>
      </c>
      <c r="I386" s="548" t="s">
        <v>67</v>
      </c>
      <c r="J386" s="548" t="s">
        <v>497</v>
      </c>
      <c r="K386" s="560">
        <v>1170.1079583803903</v>
      </c>
      <c r="L386" s="561">
        <v>35.9</v>
      </c>
      <c r="M386" s="552">
        <f t="shared" si="25"/>
        <v>32.593536445136223</v>
      </c>
      <c r="N386" s="562">
        <v>60</v>
      </c>
      <c r="O386" s="563">
        <f t="shared" si="26"/>
        <v>19.501799306339837</v>
      </c>
      <c r="P386" s="564">
        <f t="shared" ca="1" si="27"/>
        <v>191</v>
      </c>
      <c r="Q386" s="552">
        <f t="shared" ca="1" si="28"/>
        <v>-2554.7357091305184</v>
      </c>
      <c r="R386" s="563">
        <f t="shared" ca="1" si="29"/>
        <v>1</v>
      </c>
      <c r="S386" s="565" t="s">
        <v>396</v>
      </c>
    </row>
    <row r="387" spans="2:19" ht="39.950000000000003" customHeight="1" x14ac:dyDescent="0.25">
      <c r="B387" s="859">
        <v>40113</v>
      </c>
      <c r="C387" s="558" t="s">
        <v>2349</v>
      </c>
      <c r="D387" s="558"/>
      <c r="E387" s="565" t="s">
        <v>628</v>
      </c>
      <c r="F387" s="548" t="s">
        <v>666</v>
      </c>
      <c r="G387" s="559" t="s">
        <v>625</v>
      </c>
      <c r="H387" s="548" t="s">
        <v>28</v>
      </c>
      <c r="I387" s="548" t="s">
        <v>67</v>
      </c>
      <c r="J387" s="548" t="s">
        <v>507</v>
      </c>
      <c r="K387" s="566">
        <v>1170.1079583803903</v>
      </c>
      <c r="L387" s="561">
        <v>35.9</v>
      </c>
      <c r="M387" s="552">
        <f t="shared" si="25"/>
        <v>32.593536445136223</v>
      </c>
      <c r="N387" s="526">
        <v>60</v>
      </c>
      <c r="O387" s="563">
        <f t="shared" si="26"/>
        <v>19.501799306339837</v>
      </c>
      <c r="P387" s="564">
        <f t="shared" ca="1" si="27"/>
        <v>191</v>
      </c>
      <c r="Q387" s="552">
        <f t="shared" ca="1" si="28"/>
        <v>-2554.7357091305184</v>
      </c>
      <c r="R387" s="563">
        <f t="shared" ca="1" si="29"/>
        <v>1</v>
      </c>
      <c r="S387" s="565" t="s">
        <v>396</v>
      </c>
    </row>
    <row r="388" spans="2:19" ht="39.950000000000003" customHeight="1" x14ac:dyDescent="0.25">
      <c r="B388" s="859">
        <v>40113</v>
      </c>
      <c r="C388" s="558" t="s">
        <v>2349</v>
      </c>
      <c r="D388" s="558"/>
      <c r="E388" s="565" t="s">
        <v>628</v>
      </c>
      <c r="F388" s="548" t="s">
        <v>667</v>
      </c>
      <c r="G388" s="559" t="s">
        <v>625</v>
      </c>
      <c r="H388" s="548" t="s">
        <v>28</v>
      </c>
      <c r="I388" s="548" t="s">
        <v>67</v>
      </c>
      <c r="J388" s="548" t="s">
        <v>507</v>
      </c>
      <c r="K388" s="566">
        <v>1170.1079583803903</v>
      </c>
      <c r="L388" s="561">
        <v>35.9</v>
      </c>
      <c r="M388" s="552">
        <f t="shared" si="25"/>
        <v>32.593536445136223</v>
      </c>
      <c r="N388" s="526">
        <v>60</v>
      </c>
      <c r="O388" s="563">
        <f t="shared" si="26"/>
        <v>19.501799306339837</v>
      </c>
      <c r="P388" s="564">
        <f t="shared" ca="1" si="27"/>
        <v>191</v>
      </c>
      <c r="Q388" s="552">
        <f t="shared" ca="1" si="28"/>
        <v>-2554.7357091305184</v>
      </c>
      <c r="R388" s="563">
        <f t="shared" ca="1" si="29"/>
        <v>1</v>
      </c>
      <c r="S388" s="565" t="s">
        <v>396</v>
      </c>
    </row>
    <row r="389" spans="2:19" ht="39.950000000000003" customHeight="1" x14ac:dyDescent="0.25">
      <c r="B389" s="859">
        <v>40113</v>
      </c>
      <c r="C389" s="558" t="s">
        <v>2349</v>
      </c>
      <c r="D389" s="558"/>
      <c r="E389" s="565" t="s">
        <v>628</v>
      </c>
      <c r="F389" s="548" t="s">
        <v>658</v>
      </c>
      <c r="G389" s="559" t="s">
        <v>659</v>
      </c>
      <c r="H389" s="548" t="s">
        <v>28</v>
      </c>
      <c r="I389" s="548" t="s">
        <v>67</v>
      </c>
      <c r="J389" s="548" t="s">
        <v>497</v>
      </c>
      <c r="K389" s="560">
        <v>15906.870674771206</v>
      </c>
      <c r="L389" s="561">
        <v>35.9</v>
      </c>
      <c r="M389" s="552">
        <f t="shared" si="25"/>
        <v>443.08831963150993</v>
      </c>
      <c r="N389" s="562">
        <v>60</v>
      </c>
      <c r="O389" s="563">
        <f t="shared" si="26"/>
        <v>265.11451124618674</v>
      </c>
      <c r="P389" s="564">
        <f t="shared" ca="1" si="27"/>
        <v>191</v>
      </c>
      <c r="Q389" s="552">
        <f t="shared" ca="1" si="28"/>
        <v>-34730.000973250462</v>
      </c>
      <c r="R389" s="563">
        <f t="shared" ca="1" si="29"/>
        <v>1</v>
      </c>
      <c r="S389" s="565" t="s">
        <v>630</v>
      </c>
    </row>
    <row r="390" spans="2:19" ht="59.25" customHeight="1" x14ac:dyDescent="0.25">
      <c r="B390" s="859">
        <v>40113</v>
      </c>
      <c r="C390" s="558" t="s">
        <v>2349</v>
      </c>
      <c r="D390" s="558"/>
      <c r="E390" s="565" t="s">
        <v>628</v>
      </c>
      <c r="F390" s="548" t="s">
        <v>660</v>
      </c>
      <c r="G390" s="559" t="s">
        <v>659</v>
      </c>
      <c r="H390" s="548" t="s">
        <v>28</v>
      </c>
      <c r="I390" s="548" t="s">
        <v>67</v>
      </c>
      <c r="J390" s="548" t="s">
        <v>497</v>
      </c>
      <c r="K390" s="560">
        <v>15906.870674771206</v>
      </c>
      <c r="L390" s="561">
        <v>35.9</v>
      </c>
      <c r="M390" s="552">
        <f t="shared" si="25"/>
        <v>443.08831963150993</v>
      </c>
      <c r="N390" s="562">
        <v>60</v>
      </c>
      <c r="O390" s="563">
        <f t="shared" si="26"/>
        <v>265.11451124618674</v>
      </c>
      <c r="P390" s="564">
        <f t="shared" ca="1" si="27"/>
        <v>191</v>
      </c>
      <c r="Q390" s="552">
        <f t="shared" ca="1" si="28"/>
        <v>-34730.000973250462</v>
      </c>
      <c r="R390" s="563">
        <f t="shared" ca="1" si="29"/>
        <v>1</v>
      </c>
      <c r="S390" s="565" t="s">
        <v>630</v>
      </c>
    </row>
    <row r="391" spans="2:19" ht="63.75" customHeight="1" x14ac:dyDescent="0.25">
      <c r="B391" s="859">
        <v>40113</v>
      </c>
      <c r="C391" s="558" t="s">
        <v>2349</v>
      </c>
      <c r="D391" s="558"/>
      <c r="E391" s="565" t="s">
        <v>623</v>
      </c>
      <c r="F391" s="548" t="s">
        <v>626</v>
      </c>
      <c r="G391" s="559" t="s">
        <v>438</v>
      </c>
      <c r="H391" s="548" t="s">
        <v>28</v>
      </c>
      <c r="I391" s="548" t="s">
        <v>4397</v>
      </c>
      <c r="J391" s="548" t="s">
        <v>19</v>
      </c>
      <c r="K391" s="560">
        <v>8320.7677040383314</v>
      </c>
      <c r="L391" s="561">
        <v>35.9</v>
      </c>
      <c r="M391" s="552">
        <f t="shared" si="25"/>
        <v>231.77625916541314</v>
      </c>
      <c r="N391" s="562">
        <v>60</v>
      </c>
      <c r="O391" s="563">
        <f t="shared" si="26"/>
        <v>138.6794617339722</v>
      </c>
      <c r="P391" s="564">
        <f t="shared" ca="1" si="27"/>
        <v>191</v>
      </c>
      <c r="Q391" s="552">
        <f t="shared" ca="1" si="28"/>
        <v>-18167.009487150361</v>
      </c>
      <c r="R391" s="563">
        <f t="shared" ca="1" si="29"/>
        <v>1</v>
      </c>
      <c r="S391" s="565" t="s">
        <v>396</v>
      </c>
    </row>
    <row r="392" spans="2:19" ht="60" customHeight="1" x14ac:dyDescent="0.25">
      <c r="B392" s="859">
        <v>40113</v>
      </c>
      <c r="C392" s="558" t="s">
        <v>2349</v>
      </c>
      <c r="D392" s="558"/>
      <c r="E392" s="565" t="s">
        <v>628</v>
      </c>
      <c r="F392" s="548" t="s">
        <v>635</v>
      </c>
      <c r="G392" s="559" t="s">
        <v>438</v>
      </c>
      <c r="H392" s="548" t="s">
        <v>28</v>
      </c>
      <c r="I392" s="548" t="s">
        <v>607</v>
      </c>
      <c r="J392" s="548" t="s">
        <v>608</v>
      </c>
      <c r="K392" s="560">
        <v>8320.7677040383314</v>
      </c>
      <c r="L392" s="561">
        <v>35.9</v>
      </c>
      <c r="M392" s="552">
        <f t="shared" ref="M392:M455" si="30">+K392/L392</f>
        <v>231.77625916541314</v>
      </c>
      <c r="N392" s="562">
        <v>60</v>
      </c>
      <c r="O392" s="563">
        <f t="shared" ref="O392:O455" si="31">IF(AND(K392&lt;&gt;0,N392&lt;&gt;0),K392/N392,0)</f>
        <v>138.6794617339722</v>
      </c>
      <c r="P392" s="564">
        <f t="shared" ref="P392:P455" ca="1" si="32">IF(B392&lt;&gt;0,(ROUND((NOW()-B392)/30,0)),0)</f>
        <v>191</v>
      </c>
      <c r="Q392" s="552">
        <f t="shared" ref="Q392:Q455" ca="1" si="33">IF(OR(K392=0,N392=0,P392=0),0,K392-(O392*P392))</f>
        <v>-18167.009487150361</v>
      </c>
      <c r="R392" s="563">
        <f t="shared" ref="R392:R455" ca="1" si="34">IF(Q392&lt;1,1,Q392)</f>
        <v>1</v>
      </c>
      <c r="S392" s="565" t="s">
        <v>396</v>
      </c>
    </row>
    <row r="393" spans="2:19" ht="60" customHeight="1" x14ac:dyDescent="0.25">
      <c r="B393" s="859">
        <v>40113</v>
      </c>
      <c r="C393" s="558" t="s">
        <v>2349</v>
      </c>
      <c r="D393" s="558"/>
      <c r="E393" s="565" t="s">
        <v>628</v>
      </c>
      <c r="F393" s="548" t="s">
        <v>652</v>
      </c>
      <c r="G393" s="559" t="s">
        <v>438</v>
      </c>
      <c r="H393" s="548" t="s">
        <v>28</v>
      </c>
      <c r="I393" s="548" t="s">
        <v>67</v>
      </c>
      <c r="J393" s="548" t="s">
        <v>4395</v>
      </c>
      <c r="K393" s="560">
        <v>8320.7677040383314</v>
      </c>
      <c r="L393" s="561">
        <v>35.9</v>
      </c>
      <c r="M393" s="552">
        <f t="shared" si="30"/>
        <v>231.77625916541314</v>
      </c>
      <c r="N393" s="562">
        <v>60</v>
      </c>
      <c r="O393" s="563">
        <f t="shared" si="31"/>
        <v>138.6794617339722</v>
      </c>
      <c r="P393" s="564">
        <f t="shared" ca="1" si="32"/>
        <v>191</v>
      </c>
      <c r="Q393" s="552">
        <f t="shared" ca="1" si="33"/>
        <v>-18167.009487150361</v>
      </c>
      <c r="R393" s="563">
        <f t="shared" ca="1" si="34"/>
        <v>1</v>
      </c>
      <c r="S393" s="565" t="s">
        <v>396</v>
      </c>
    </row>
    <row r="394" spans="2:19" ht="60" customHeight="1" x14ac:dyDescent="0.25">
      <c r="B394" s="859">
        <v>40113</v>
      </c>
      <c r="C394" s="558" t="s">
        <v>2349</v>
      </c>
      <c r="D394" s="558"/>
      <c r="E394" s="565" t="s">
        <v>628</v>
      </c>
      <c r="F394" s="548" t="s">
        <v>653</v>
      </c>
      <c r="G394" s="559" t="s">
        <v>438</v>
      </c>
      <c r="H394" s="548" t="s">
        <v>28</v>
      </c>
      <c r="I394" s="548" t="s">
        <v>67</v>
      </c>
      <c r="J394" s="548" t="s">
        <v>4395</v>
      </c>
      <c r="K394" s="560">
        <v>8320.7677040383314</v>
      </c>
      <c r="L394" s="561">
        <v>35.9</v>
      </c>
      <c r="M394" s="552">
        <f t="shared" si="30"/>
        <v>231.77625916541314</v>
      </c>
      <c r="N394" s="562">
        <v>60</v>
      </c>
      <c r="O394" s="563">
        <f t="shared" si="31"/>
        <v>138.6794617339722</v>
      </c>
      <c r="P394" s="564">
        <f t="shared" ca="1" si="32"/>
        <v>191</v>
      </c>
      <c r="Q394" s="552">
        <f t="shared" ca="1" si="33"/>
        <v>-18167.009487150361</v>
      </c>
      <c r="R394" s="563">
        <f t="shared" ca="1" si="34"/>
        <v>1</v>
      </c>
      <c r="S394" s="565" t="s">
        <v>396</v>
      </c>
    </row>
    <row r="395" spans="2:19" ht="60" customHeight="1" x14ac:dyDescent="0.25">
      <c r="B395" s="859">
        <v>40113</v>
      </c>
      <c r="C395" s="558" t="s">
        <v>2349</v>
      </c>
      <c r="D395" s="558"/>
      <c r="E395" s="565" t="s">
        <v>628</v>
      </c>
      <c r="F395" s="548" t="s">
        <v>631</v>
      </c>
      <c r="G395" s="559" t="s">
        <v>564</v>
      </c>
      <c r="H395" s="548" t="s">
        <v>28</v>
      </c>
      <c r="I395" s="548" t="s">
        <v>466</v>
      </c>
      <c r="J395" s="548" t="s">
        <v>467</v>
      </c>
      <c r="K395" s="560">
        <v>6264.6750130190585</v>
      </c>
      <c r="L395" s="561">
        <v>35.9</v>
      </c>
      <c r="M395" s="552">
        <f t="shared" si="30"/>
        <v>174.50348225679829</v>
      </c>
      <c r="N395" s="562">
        <v>60</v>
      </c>
      <c r="O395" s="563">
        <f t="shared" si="31"/>
        <v>104.41125021698431</v>
      </c>
      <c r="P395" s="564">
        <f t="shared" ca="1" si="32"/>
        <v>191</v>
      </c>
      <c r="Q395" s="552">
        <f t="shared" ca="1" si="33"/>
        <v>-13677.873778424946</v>
      </c>
      <c r="R395" s="563">
        <f t="shared" ca="1" si="34"/>
        <v>1</v>
      </c>
      <c r="S395" s="565" t="s">
        <v>630</v>
      </c>
    </row>
    <row r="396" spans="2:19" ht="60" customHeight="1" x14ac:dyDescent="0.25">
      <c r="B396" s="859">
        <v>40113</v>
      </c>
      <c r="C396" s="558" t="s">
        <v>2349</v>
      </c>
      <c r="D396" s="558"/>
      <c r="E396" s="565" t="s">
        <v>628</v>
      </c>
      <c r="F396" s="548" t="s">
        <v>646</v>
      </c>
      <c r="G396" s="559" t="s">
        <v>590</v>
      </c>
      <c r="H396" s="548" t="s">
        <v>28</v>
      </c>
      <c r="I396" s="548" t="s">
        <v>487</v>
      </c>
      <c r="J396" s="548" t="s">
        <v>488</v>
      </c>
      <c r="K396" s="560">
        <v>4406.1649523682927</v>
      </c>
      <c r="L396" s="561">
        <v>35.9</v>
      </c>
      <c r="M396" s="552">
        <f t="shared" si="30"/>
        <v>122.73439978741763</v>
      </c>
      <c r="N396" s="562">
        <v>60</v>
      </c>
      <c r="O396" s="563">
        <f t="shared" si="31"/>
        <v>73.436082539471542</v>
      </c>
      <c r="P396" s="564">
        <f t="shared" ca="1" si="32"/>
        <v>191</v>
      </c>
      <c r="Q396" s="552">
        <f t="shared" ca="1" si="33"/>
        <v>-9620.1268126707728</v>
      </c>
      <c r="R396" s="563">
        <f t="shared" ca="1" si="34"/>
        <v>1</v>
      </c>
      <c r="S396" s="565" t="s">
        <v>630</v>
      </c>
    </row>
    <row r="397" spans="2:19" ht="60" customHeight="1" x14ac:dyDescent="0.25">
      <c r="B397" s="859">
        <v>40113</v>
      </c>
      <c r="C397" s="558" t="s">
        <v>2349</v>
      </c>
      <c r="D397" s="558"/>
      <c r="E397" s="565" t="s">
        <v>628</v>
      </c>
      <c r="F397" s="548" t="s">
        <v>647</v>
      </c>
      <c r="G397" s="559" t="s">
        <v>590</v>
      </c>
      <c r="H397" s="548" t="s">
        <v>28</v>
      </c>
      <c r="I397" s="548" t="s">
        <v>487</v>
      </c>
      <c r="J397" s="548" t="s">
        <v>488</v>
      </c>
      <c r="K397" s="560">
        <v>4406.1649523682927</v>
      </c>
      <c r="L397" s="561">
        <v>35.9</v>
      </c>
      <c r="M397" s="552">
        <f t="shared" si="30"/>
        <v>122.73439978741763</v>
      </c>
      <c r="N397" s="562">
        <v>60</v>
      </c>
      <c r="O397" s="563">
        <f t="shared" si="31"/>
        <v>73.436082539471542</v>
      </c>
      <c r="P397" s="564">
        <f t="shared" ca="1" si="32"/>
        <v>191</v>
      </c>
      <c r="Q397" s="552">
        <f t="shared" ca="1" si="33"/>
        <v>-9620.1268126707728</v>
      </c>
      <c r="R397" s="563">
        <f t="shared" ca="1" si="34"/>
        <v>1</v>
      </c>
      <c r="S397" s="565" t="s">
        <v>630</v>
      </c>
    </row>
    <row r="398" spans="2:19" ht="60" customHeight="1" x14ac:dyDescent="0.25">
      <c r="B398" s="859">
        <v>40113</v>
      </c>
      <c r="C398" s="558" t="s">
        <v>2349</v>
      </c>
      <c r="D398" s="558"/>
      <c r="E398" s="565" t="s">
        <v>628</v>
      </c>
      <c r="F398" s="548" t="s">
        <v>648</v>
      </c>
      <c r="G398" s="559" t="s">
        <v>590</v>
      </c>
      <c r="H398" s="548" t="s">
        <v>28</v>
      </c>
      <c r="I398" s="548" t="s">
        <v>487</v>
      </c>
      <c r="J398" s="548" t="s">
        <v>488</v>
      </c>
      <c r="K398" s="560">
        <v>4406.1649523682927</v>
      </c>
      <c r="L398" s="561">
        <v>35.9</v>
      </c>
      <c r="M398" s="552">
        <f t="shared" si="30"/>
        <v>122.73439978741763</v>
      </c>
      <c r="N398" s="562">
        <v>60</v>
      </c>
      <c r="O398" s="563">
        <f t="shared" si="31"/>
        <v>73.436082539471542</v>
      </c>
      <c r="P398" s="564">
        <f t="shared" ca="1" si="32"/>
        <v>191</v>
      </c>
      <c r="Q398" s="552">
        <f t="shared" ca="1" si="33"/>
        <v>-9620.1268126707728</v>
      </c>
      <c r="R398" s="563">
        <f t="shared" ca="1" si="34"/>
        <v>1</v>
      </c>
      <c r="S398" s="565" t="s">
        <v>630</v>
      </c>
    </row>
    <row r="399" spans="2:19" ht="60" customHeight="1" x14ac:dyDescent="0.25">
      <c r="B399" s="859">
        <v>40113</v>
      </c>
      <c r="C399" s="558" t="s">
        <v>2349</v>
      </c>
      <c r="D399" s="558"/>
      <c r="E399" s="565" t="s">
        <v>628</v>
      </c>
      <c r="F399" s="548" t="s">
        <v>629</v>
      </c>
      <c r="G399" s="559" t="s">
        <v>307</v>
      </c>
      <c r="H399" s="548" t="s">
        <v>28</v>
      </c>
      <c r="I399" s="548" t="s">
        <v>466</v>
      </c>
      <c r="J399" s="548" t="s">
        <v>467</v>
      </c>
      <c r="K399" s="560">
        <v>5761.2031708584318</v>
      </c>
      <c r="L399" s="561">
        <v>35.9</v>
      </c>
      <c r="M399" s="552">
        <f t="shared" si="30"/>
        <v>160.4791969598449</v>
      </c>
      <c r="N399" s="562">
        <v>60</v>
      </c>
      <c r="O399" s="563">
        <f t="shared" si="31"/>
        <v>96.020052847640528</v>
      </c>
      <c r="P399" s="564">
        <f t="shared" ca="1" si="32"/>
        <v>191</v>
      </c>
      <c r="Q399" s="552">
        <f t="shared" ca="1" si="33"/>
        <v>-12578.626923040909</v>
      </c>
      <c r="R399" s="563">
        <f t="shared" ca="1" si="34"/>
        <v>1</v>
      </c>
      <c r="S399" s="565" t="s">
        <v>630</v>
      </c>
    </row>
    <row r="400" spans="2:19" ht="60" customHeight="1" x14ac:dyDescent="0.25">
      <c r="B400" s="859">
        <v>40113</v>
      </c>
      <c r="C400" s="558" t="s">
        <v>2349</v>
      </c>
      <c r="D400" s="558"/>
      <c r="E400" s="565" t="s">
        <v>628</v>
      </c>
      <c r="F400" s="548" t="s">
        <v>644</v>
      </c>
      <c r="G400" s="559" t="s">
        <v>307</v>
      </c>
      <c r="H400" s="548" t="s">
        <v>28</v>
      </c>
      <c r="I400" s="548" t="s">
        <v>487</v>
      </c>
      <c r="J400" s="548" t="s">
        <v>488</v>
      </c>
      <c r="K400" s="560">
        <v>5761.2031708584318</v>
      </c>
      <c r="L400" s="561">
        <v>35.9</v>
      </c>
      <c r="M400" s="552">
        <f t="shared" si="30"/>
        <v>160.4791969598449</v>
      </c>
      <c r="N400" s="562">
        <v>60</v>
      </c>
      <c r="O400" s="563">
        <f t="shared" si="31"/>
        <v>96.020052847640528</v>
      </c>
      <c r="P400" s="564">
        <f t="shared" ca="1" si="32"/>
        <v>191</v>
      </c>
      <c r="Q400" s="552">
        <f t="shared" ca="1" si="33"/>
        <v>-12578.626923040909</v>
      </c>
      <c r="R400" s="563">
        <f t="shared" ca="1" si="34"/>
        <v>1</v>
      </c>
      <c r="S400" s="565" t="s">
        <v>630</v>
      </c>
    </row>
    <row r="401" spans="2:19" ht="60" customHeight="1" x14ac:dyDescent="0.25">
      <c r="B401" s="859">
        <v>40113</v>
      </c>
      <c r="C401" s="558" t="s">
        <v>2349</v>
      </c>
      <c r="D401" s="558"/>
      <c r="E401" s="565" t="s">
        <v>628</v>
      </c>
      <c r="F401" s="548" t="s">
        <v>645</v>
      </c>
      <c r="G401" s="559" t="s">
        <v>307</v>
      </c>
      <c r="H401" s="548" t="s">
        <v>28</v>
      </c>
      <c r="I401" s="548" t="s">
        <v>487</v>
      </c>
      <c r="J401" s="548" t="s">
        <v>488</v>
      </c>
      <c r="K401" s="560">
        <v>5761.2031708584318</v>
      </c>
      <c r="L401" s="561">
        <v>35.9</v>
      </c>
      <c r="M401" s="552">
        <f t="shared" si="30"/>
        <v>160.4791969598449</v>
      </c>
      <c r="N401" s="562">
        <v>60</v>
      </c>
      <c r="O401" s="563">
        <f t="shared" si="31"/>
        <v>96.020052847640528</v>
      </c>
      <c r="P401" s="564">
        <f t="shared" ca="1" si="32"/>
        <v>191</v>
      </c>
      <c r="Q401" s="552">
        <f t="shared" ca="1" si="33"/>
        <v>-12578.626923040909</v>
      </c>
      <c r="R401" s="563">
        <f t="shared" ca="1" si="34"/>
        <v>1</v>
      </c>
      <c r="S401" s="565" t="s">
        <v>630</v>
      </c>
    </row>
    <row r="402" spans="2:19" ht="39.950000000000003" customHeight="1" x14ac:dyDescent="0.25">
      <c r="B402" s="859">
        <v>40113</v>
      </c>
      <c r="C402" s="558" t="s">
        <v>2349</v>
      </c>
      <c r="D402" s="558"/>
      <c r="E402" s="565" t="s">
        <v>628</v>
      </c>
      <c r="F402" s="548" t="s">
        <v>656</v>
      </c>
      <c r="G402" s="559" t="s">
        <v>307</v>
      </c>
      <c r="H402" s="548" t="s">
        <v>28</v>
      </c>
      <c r="I402" s="548" t="s">
        <v>67</v>
      </c>
      <c r="J402" s="548" t="s">
        <v>497</v>
      </c>
      <c r="K402" s="560">
        <v>5761.2031708584318</v>
      </c>
      <c r="L402" s="561">
        <v>35.9</v>
      </c>
      <c r="M402" s="552">
        <f t="shared" si="30"/>
        <v>160.4791969598449</v>
      </c>
      <c r="N402" s="562">
        <v>60</v>
      </c>
      <c r="O402" s="563">
        <f t="shared" si="31"/>
        <v>96.020052847640528</v>
      </c>
      <c r="P402" s="564">
        <f t="shared" ca="1" si="32"/>
        <v>191</v>
      </c>
      <c r="Q402" s="552">
        <f t="shared" ca="1" si="33"/>
        <v>-12578.626923040909</v>
      </c>
      <c r="R402" s="563">
        <f t="shared" ca="1" si="34"/>
        <v>1</v>
      </c>
      <c r="S402" s="565" t="s">
        <v>630</v>
      </c>
    </row>
    <row r="403" spans="2:19" ht="50.1" customHeight="1" x14ac:dyDescent="0.25">
      <c r="B403" s="859">
        <v>40113</v>
      </c>
      <c r="C403" s="558" t="s">
        <v>2349</v>
      </c>
      <c r="D403" s="558"/>
      <c r="E403" s="565" t="s">
        <v>628</v>
      </c>
      <c r="F403" s="548" t="s">
        <v>657</v>
      </c>
      <c r="G403" s="559" t="s">
        <v>307</v>
      </c>
      <c r="H403" s="548" t="s">
        <v>28</v>
      </c>
      <c r="I403" s="548" t="s">
        <v>67</v>
      </c>
      <c r="J403" s="548" t="s">
        <v>497</v>
      </c>
      <c r="K403" s="560">
        <v>5761.2031708584318</v>
      </c>
      <c r="L403" s="561">
        <v>35.9</v>
      </c>
      <c r="M403" s="552">
        <f t="shared" si="30"/>
        <v>160.4791969598449</v>
      </c>
      <c r="N403" s="562">
        <v>60</v>
      </c>
      <c r="O403" s="563">
        <f t="shared" si="31"/>
        <v>96.020052847640528</v>
      </c>
      <c r="P403" s="564">
        <f t="shared" ca="1" si="32"/>
        <v>191</v>
      </c>
      <c r="Q403" s="552">
        <f t="shared" ca="1" si="33"/>
        <v>-12578.626923040909</v>
      </c>
      <c r="R403" s="563">
        <f t="shared" ca="1" si="34"/>
        <v>1</v>
      </c>
      <c r="S403" s="565" t="s">
        <v>630</v>
      </c>
    </row>
    <row r="404" spans="2:19" ht="50.1" customHeight="1" x14ac:dyDescent="0.25">
      <c r="B404" s="859">
        <v>40113</v>
      </c>
      <c r="C404" s="558" t="s">
        <v>2349</v>
      </c>
      <c r="D404" s="558"/>
      <c r="E404" s="565" t="s">
        <v>628</v>
      </c>
      <c r="F404" s="548" t="s">
        <v>664</v>
      </c>
      <c r="G404" s="559" t="s">
        <v>307</v>
      </c>
      <c r="H404" s="548" t="s">
        <v>28</v>
      </c>
      <c r="I404" s="548" t="s">
        <v>23</v>
      </c>
      <c r="J404" s="548" t="s">
        <v>24</v>
      </c>
      <c r="K404" s="560">
        <v>5761.2031708584318</v>
      </c>
      <c r="L404" s="561">
        <v>35.9</v>
      </c>
      <c r="M404" s="552">
        <f t="shared" si="30"/>
        <v>160.4791969598449</v>
      </c>
      <c r="N404" s="562">
        <v>60</v>
      </c>
      <c r="O404" s="563">
        <f t="shared" si="31"/>
        <v>96.020052847640528</v>
      </c>
      <c r="P404" s="564">
        <f t="shared" ca="1" si="32"/>
        <v>191</v>
      </c>
      <c r="Q404" s="552">
        <f t="shared" ca="1" si="33"/>
        <v>-12578.626923040909</v>
      </c>
      <c r="R404" s="563">
        <f t="shared" ca="1" si="34"/>
        <v>1</v>
      </c>
      <c r="S404" s="565" t="s">
        <v>630</v>
      </c>
    </row>
    <row r="405" spans="2:19" ht="39.950000000000003" customHeight="1" x14ac:dyDescent="0.25">
      <c r="B405" s="859">
        <v>40162</v>
      </c>
      <c r="C405" s="558" t="s">
        <v>2349</v>
      </c>
      <c r="D405" s="558"/>
      <c r="E405" s="565" t="s">
        <v>668</v>
      </c>
      <c r="F405" s="548" t="s">
        <v>671</v>
      </c>
      <c r="G405" s="559" t="s">
        <v>669</v>
      </c>
      <c r="H405" s="548" t="s">
        <v>28</v>
      </c>
      <c r="I405" s="548" t="s">
        <v>487</v>
      </c>
      <c r="J405" s="548" t="s">
        <v>488</v>
      </c>
      <c r="K405" s="560">
        <v>3423.2575533403888</v>
      </c>
      <c r="L405" s="561">
        <v>35.9</v>
      </c>
      <c r="M405" s="552">
        <f t="shared" si="30"/>
        <v>95.355363602796345</v>
      </c>
      <c r="N405" s="562">
        <v>60</v>
      </c>
      <c r="O405" s="563">
        <f t="shared" si="31"/>
        <v>57.054292555673143</v>
      </c>
      <c r="P405" s="564">
        <f t="shared" ca="1" si="32"/>
        <v>190</v>
      </c>
      <c r="Q405" s="552">
        <f t="shared" ca="1" si="33"/>
        <v>-7417.0580322375081</v>
      </c>
      <c r="R405" s="563">
        <f t="shared" ca="1" si="34"/>
        <v>1</v>
      </c>
      <c r="S405" s="565" t="s">
        <v>670</v>
      </c>
    </row>
    <row r="406" spans="2:19" ht="39.950000000000003" customHeight="1" x14ac:dyDescent="0.25">
      <c r="B406" s="859">
        <v>40189</v>
      </c>
      <c r="C406" s="558" t="s">
        <v>2349</v>
      </c>
      <c r="D406" s="558"/>
      <c r="E406" s="565" t="s">
        <v>672</v>
      </c>
      <c r="F406" s="548" t="s">
        <v>673</v>
      </c>
      <c r="G406" s="565" t="s">
        <v>674</v>
      </c>
      <c r="H406" s="548" t="s">
        <v>675</v>
      </c>
      <c r="I406" s="548" t="s">
        <v>23</v>
      </c>
      <c r="J406" s="548" t="s">
        <v>676</v>
      </c>
      <c r="K406" s="570">
        <v>39930.559999999998</v>
      </c>
      <c r="L406" s="561">
        <v>36.18</v>
      </c>
      <c r="M406" s="552">
        <f t="shared" si="30"/>
        <v>1103.6639027086787</v>
      </c>
      <c r="N406" s="562">
        <v>60</v>
      </c>
      <c r="O406" s="563">
        <f t="shared" si="31"/>
        <v>665.5093333333333</v>
      </c>
      <c r="P406" s="564">
        <f t="shared" ca="1" si="32"/>
        <v>189</v>
      </c>
      <c r="Q406" s="552">
        <f t="shared" ca="1" si="33"/>
        <v>-85850.703999999998</v>
      </c>
      <c r="R406" s="563">
        <f t="shared" ca="1" si="34"/>
        <v>1</v>
      </c>
      <c r="S406" s="565" t="s">
        <v>677</v>
      </c>
    </row>
    <row r="407" spans="2:19" ht="47.1" customHeight="1" x14ac:dyDescent="0.25">
      <c r="B407" s="859">
        <v>40240</v>
      </c>
      <c r="C407" s="558" t="s">
        <v>2349</v>
      </c>
      <c r="D407" s="558"/>
      <c r="E407" s="565" t="s">
        <v>678</v>
      </c>
      <c r="F407" s="548" t="s">
        <v>679</v>
      </c>
      <c r="G407" s="559" t="s">
        <v>680</v>
      </c>
      <c r="H407" s="548" t="s">
        <v>28</v>
      </c>
      <c r="I407" s="548" t="s">
        <v>303</v>
      </c>
      <c r="J407" s="548" t="s">
        <v>4372</v>
      </c>
      <c r="K407" s="560">
        <v>63672.49</v>
      </c>
      <c r="L407" s="561">
        <v>36.380000000000003</v>
      </c>
      <c r="M407" s="552">
        <f t="shared" si="30"/>
        <v>1750.205882352941</v>
      </c>
      <c r="N407" s="562">
        <v>60</v>
      </c>
      <c r="O407" s="563">
        <f t="shared" si="31"/>
        <v>1061.2081666666666</v>
      </c>
      <c r="P407" s="564">
        <f t="shared" ca="1" si="32"/>
        <v>187</v>
      </c>
      <c r="Q407" s="552">
        <f t="shared" ca="1" si="33"/>
        <v>-134773.43716666664</v>
      </c>
      <c r="R407" s="563">
        <f t="shared" ca="1" si="34"/>
        <v>1</v>
      </c>
      <c r="S407" s="565" t="s">
        <v>681</v>
      </c>
    </row>
    <row r="408" spans="2:19" ht="39.950000000000003" customHeight="1" x14ac:dyDescent="0.25">
      <c r="B408" s="859">
        <v>40240</v>
      </c>
      <c r="C408" s="558" t="s">
        <v>2349</v>
      </c>
      <c r="D408" s="558"/>
      <c r="E408" s="565" t="s">
        <v>678</v>
      </c>
      <c r="F408" s="548" t="s">
        <v>682</v>
      </c>
      <c r="G408" s="559" t="s">
        <v>680</v>
      </c>
      <c r="H408" s="548" t="s">
        <v>28</v>
      </c>
      <c r="I408" s="548" t="s">
        <v>303</v>
      </c>
      <c r="J408" s="548" t="s">
        <v>4372</v>
      </c>
      <c r="K408" s="560">
        <v>63672.49</v>
      </c>
      <c r="L408" s="561">
        <v>36.380000000000003</v>
      </c>
      <c r="M408" s="552">
        <f t="shared" si="30"/>
        <v>1750.205882352941</v>
      </c>
      <c r="N408" s="562">
        <v>60</v>
      </c>
      <c r="O408" s="563">
        <f t="shared" si="31"/>
        <v>1061.2081666666666</v>
      </c>
      <c r="P408" s="564">
        <f t="shared" ca="1" si="32"/>
        <v>187</v>
      </c>
      <c r="Q408" s="552">
        <f t="shared" ca="1" si="33"/>
        <v>-134773.43716666664</v>
      </c>
      <c r="R408" s="563">
        <f t="shared" ca="1" si="34"/>
        <v>1</v>
      </c>
      <c r="S408" s="565" t="s">
        <v>681</v>
      </c>
    </row>
    <row r="409" spans="2:19" ht="39.950000000000003" customHeight="1" x14ac:dyDescent="0.25">
      <c r="B409" s="859">
        <v>40263</v>
      </c>
      <c r="C409" s="558" t="s">
        <v>2349</v>
      </c>
      <c r="D409" s="558"/>
      <c r="E409" s="565" t="s">
        <v>683</v>
      </c>
      <c r="F409" s="548" t="s">
        <v>687</v>
      </c>
      <c r="G409" s="559" t="s">
        <v>688</v>
      </c>
      <c r="H409" s="548" t="s">
        <v>689</v>
      </c>
      <c r="I409" s="548" t="s">
        <v>23</v>
      </c>
      <c r="J409" s="548" t="s">
        <v>194</v>
      </c>
      <c r="K409" s="560">
        <v>30958</v>
      </c>
      <c r="L409" s="561">
        <v>36.479999999999997</v>
      </c>
      <c r="M409" s="552">
        <f t="shared" si="30"/>
        <v>848.62938596491233</v>
      </c>
      <c r="N409" s="562">
        <v>60</v>
      </c>
      <c r="O409" s="563">
        <f t="shared" si="31"/>
        <v>515.9666666666667</v>
      </c>
      <c r="P409" s="564">
        <f t="shared" ca="1" si="32"/>
        <v>186</v>
      </c>
      <c r="Q409" s="552">
        <f t="shared" ca="1" si="33"/>
        <v>-65011.8</v>
      </c>
      <c r="R409" s="563">
        <f t="shared" ca="1" si="34"/>
        <v>1</v>
      </c>
      <c r="S409" s="565" t="s">
        <v>686</v>
      </c>
    </row>
    <row r="410" spans="2:19" ht="46.5" customHeight="1" x14ac:dyDescent="0.25">
      <c r="B410" s="859">
        <v>40263</v>
      </c>
      <c r="C410" s="558" t="s">
        <v>2349</v>
      </c>
      <c r="D410" s="558"/>
      <c r="E410" s="565" t="s">
        <v>683</v>
      </c>
      <c r="F410" s="548" t="s">
        <v>684</v>
      </c>
      <c r="G410" s="559" t="s">
        <v>685</v>
      </c>
      <c r="H410" s="548" t="s">
        <v>28</v>
      </c>
      <c r="I410" s="548" t="s">
        <v>23</v>
      </c>
      <c r="J410" s="548" t="s">
        <v>194</v>
      </c>
      <c r="K410" s="560">
        <v>4700</v>
      </c>
      <c r="L410" s="561">
        <v>36.479999999999997</v>
      </c>
      <c r="M410" s="552">
        <f t="shared" si="30"/>
        <v>128.83771929824562</v>
      </c>
      <c r="N410" s="562">
        <v>60</v>
      </c>
      <c r="O410" s="563">
        <f t="shared" si="31"/>
        <v>78.333333333333329</v>
      </c>
      <c r="P410" s="564">
        <f t="shared" ca="1" si="32"/>
        <v>186</v>
      </c>
      <c r="Q410" s="552">
        <f t="shared" ca="1" si="33"/>
        <v>-9870</v>
      </c>
      <c r="R410" s="563">
        <f t="shared" ca="1" si="34"/>
        <v>1</v>
      </c>
      <c r="S410" s="565" t="s">
        <v>686</v>
      </c>
    </row>
    <row r="411" spans="2:19" ht="57" customHeight="1" x14ac:dyDescent="0.25">
      <c r="B411" s="859">
        <v>40331</v>
      </c>
      <c r="C411" s="558" t="s">
        <v>2349</v>
      </c>
      <c r="D411" s="558"/>
      <c r="E411" s="565" t="s">
        <v>690</v>
      </c>
      <c r="F411" s="548" t="s">
        <v>691</v>
      </c>
      <c r="G411" s="565" t="s">
        <v>692</v>
      </c>
      <c r="H411" s="571" t="s">
        <v>693</v>
      </c>
      <c r="I411" s="548" t="s">
        <v>694</v>
      </c>
      <c r="J411" s="548" t="s">
        <v>19</v>
      </c>
      <c r="K411" s="570">
        <v>99240.62</v>
      </c>
      <c r="L411" s="570">
        <v>36.708199999999998</v>
      </c>
      <c r="M411" s="552">
        <f t="shared" si="30"/>
        <v>2703.5000354144304</v>
      </c>
      <c r="N411" s="562">
        <v>60</v>
      </c>
      <c r="O411" s="563">
        <f t="shared" si="31"/>
        <v>1654.0103333333332</v>
      </c>
      <c r="P411" s="564">
        <f t="shared" ca="1" si="32"/>
        <v>184</v>
      </c>
      <c r="Q411" s="552">
        <f t="shared" ca="1" si="33"/>
        <v>-205097.28133333329</v>
      </c>
      <c r="R411" s="563">
        <f t="shared" ca="1" si="34"/>
        <v>1</v>
      </c>
      <c r="S411" s="565" t="s">
        <v>695</v>
      </c>
    </row>
    <row r="412" spans="2:19" ht="39.950000000000003" customHeight="1" x14ac:dyDescent="0.25">
      <c r="B412" s="859">
        <v>40346</v>
      </c>
      <c r="C412" s="558" t="s">
        <v>2349</v>
      </c>
      <c r="D412" s="558"/>
      <c r="E412" s="565" t="s">
        <v>696</v>
      </c>
      <c r="F412" s="548" t="s">
        <v>697</v>
      </c>
      <c r="G412" s="565" t="s">
        <v>698</v>
      </c>
      <c r="H412" s="548" t="s">
        <v>28</v>
      </c>
      <c r="I412" s="548" t="s">
        <v>21</v>
      </c>
      <c r="J412" s="548" t="s">
        <v>19</v>
      </c>
      <c r="K412" s="570">
        <v>7584</v>
      </c>
      <c r="L412" s="570">
        <v>36.72</v>
      </c>
      <c r="M412" s="552">
        <f t="shared" si="30"/>
        <v>206.53594771241831</v>
      </c>
      <c r="N412" s="562">
        <v>60</v>
      </c>
      <c r="O412" s="563">
        <f t="shared" si="31"/>
        <v>126.4</v>
      </c>
      <c r="P412" s="564">
        <f t="shared" ca="1" si="32"/>
        <v>183</v>
      </c>
      <c r="Q412" s="552">
        <f t="shared" ca="1" si="33"/>
        <v>-15547.2</v>
      </c>
      <c r="R412" s="563">
        <f t="shared" ca="1" si="34"/>
        <v>1</v>
      </c>
      <c r="S412" s="565" t="s">
        <v>699</v>
      </c>
    </row>
    <row r="413" spans="2:19" ht="39.950000000000003" customHeight="1" x14ac:dyDescent="0.25">
      <c r="B413" s="859">
        <v>40346</v>
      </c>
      <c r="C413" s="558" t="s">
        <v>2349</v>
      </c>
      <c r="D413" s="558"/>
      <c r="E413" s="565" t="s">
        <v>696</v>
      </c>
      <c r="F413" s="548" t="s">
        <v>700</v>
      </c>
      <c r="G413" s="565" t="s">
        <v>698</v>
      </c>
      <c r="H413" s="548" t="s">
        <v>28</v>
      </c>
      <c r="I413" s="548" t="s">
        <v>21</v>
      </c>
      <c r="J413" s="548" t="s">
        <v>19</v>
      </c>
      <c r="K413" s="570">
        <v>7584</v>
      </c>
      <c r="L413" s="570">
        <v>36.72</v>
      </c>
      <c r="M413" s="552">
        <f t="shared" si="30"/>
        <v>206.53594771241831</v>
      </c>
      <c r="N413" s="562">
        <v>60</v>
      </c>
      <c r="O413" s="563">
        <f t="shared" si="31"/>
        <v>126.4</v>
      </c>
      <c r="P413" s="564">
        <f t="shared" ca="1" si="32"/>
        <v>183</v>
      </c>
      <c r="Q413" s="552">
        <f t="shared" ca="1" si="33"/>
        <v>-15547.2</v>
      </c>
      <c r="R413" s="563">
        <f t="shared" ca="1" si="34"/>
        <v>1</v>
      </c>
      <c r="S413" s="565" t="s">
        <v>699</v>
      </c>
    </row>
    <row r="414" spans="2:19" ht="39.950000000000003" customHeight="1" x14ac:dyDescent="0.25">
      <c r="B414" s="859">
        <v>40350</v>
      </c>
      <c r="C414" s="558" t="s">
        <v>2349</v>
      </c>
      <c r="D414" s="558"/>
      <c r="E414" s="565" t="s">
        <v>701</v>
      </c>
      <c r="F414" s="548" t="s">
        <v>708</v>
      </c>
      <c r="G414" s="565" t="s">
        <v>709</v>
      </c>
      <c r="H414" s="548" t="s">
        <v>710</v>
      </c>
      <c r="I414" s="548" t="s">
        <v>23</v>
      </c>
      <c r="J414" s="548" t="s">
        <v>705</v>
      </c>
      <c r="K414" s="570">
        <v>862.06</v>
      </c>
      <c r="L414" s="570">
        <v>36.9</v>
      </c>
      <c r="M414" s="552">
        <f t="shared" si="30"/>
        <v>23.362059620596206</v>
      </c>
      <c r="N414" s="562">
        <v>60</v>
      </c>
      <c r="O414" s="563">
        <f t="shared" si="31"/>
        <v>14.367666666666667</v>
      </c>
      <c r="P414" s="564">
        <f t="shared" ca="1" si="32"/>
        <v>183</v>
      </c>
      <c r="Q414" s="552">
        <f t="shared" ca="1" si="33"/>
        <v>-1767.223</v>
      </c>
      <c r="R414" s="563">
        <f t="shared" ca="1" si="34"/>
        <v>1</v>
      </c>
      <c r="S414" s="565" t="s">
        <v>706</v>
      </c>
    </row>
    <row r="415" spans="2:19" ht="39.950000000000003" customHeight="1" x14ac:dyDescent="0.25">
      <c r="B415" s="859">
        <v>40350</v>
      </c>
      <c r="C415" s="558" t="s">
        <v>2349</v>
      </c>
      <c r="D415" s="558"/>
      <c r="E415" s="565" t="s">
        <v>701</v>
      </c>
      <c r="F415" s="548" t="s">
        <v>711</v>
      </c>
      <c r="G415" s="565" t="s">
        <v>709</v>
      </c>
      <c r="H415" s="548" t="s">
        <v>710</v>
      </c>
      <c r="I415" s="548" t="s">
        <v>23</v>
      </c>
      <c r="J415" s="548" t="s">
        <v>705</v>
      </c>
      <c r="K415" s="570">
        <v>862.06</v>
      </c>
      <c r="L415" s="570">
        <v>36.9</v>
      </c>
      <c r="M415" s="552">
        <f t="shared" si="30"/>
        <v>23.362059620596206</v>
      </c>
      <c r="N415" s="562">
        <v>60</v>
      </c>
      <c r="O415" s="563">
        <f t="shared" si="31"/>
        <v>14.367666666666667</v>
      </c>
      <c r="P415" s="564">
        <f t="shared" ca="1" si="32"/>
        <v>183</v>
      </c>
      <c r="Q415" s="552">
        <f t="shared" ca="1" si="33"/>
        <v>-1767.223</v>
      </c>
      <c r="R415" s="563">
        <f t="shared" ca="1" si="34"/>
        <v>1</v>
      </c>
      <c r="S415" s="565" t="s">
        <v>706</v>
      </c>
    </row>
    <row r="416" spans="2:19" ht="39.950000000000003" customHeight="1" x14ac:dyDescent="0.25">
      <c r="B416" s="859">
        <v>40350</v>
      </c>
      <c r="C416" s="558" t="s">
        <v>2349</v>
      </c>
      <c r="D416" s="558"/>
      <c r="E416" s="565" t="s">
        <v>701</v>
      </c>
      <c r="F416" s="548" t="s">
        <v>702</v>
      </c>
      <c r="G416" s="565" t="s">
        <v>703</v>
      </c>
      <c r="H416" s="548" t="s">
        <v>704</v>
      </c>
      <c r="I416" s="548" t="s">
        <v>23</v>
      </c>
      <c r="J416" s="548" t="s">
        <v>705</v>
      </c>
      <c r="K416" s="570">
        <v>10344.82</v>
      </c>
      <c r="L416" s="570">
        <v>36.9</v>
      </c>
      <c r="M416" s="552">
        <f t="shared" si="30"/>
        <v>280.34742547425475</v>
      </c>
      <c r="N416" s="562">
        <v>60</v>
      </c>
      <c r="O416" s="563">
        <f t="shared" si="31"/>
        <v>172.41366666666667</v>
      </c>
      <c r="P416" s="564">
        <f t="shared" ca="1" si="32"/>
        <v>183</v>
      </c>
      <c r="Q416" s="552">
        <f t="shared" ca="1" si="33"/>
        <v>-21206.881000000001</v>
      </c>
      <c r="R416" s="563">
        <f t="shared" ca="1" si="34"/>
        <v>1</v>
      </c>
      <c r="S416" s="565" t="s">
        <v>706</v>
      </c>
    </row>
    <row r="417" spans="2:19" ht="39.950000000000003" customHeight="1" x14ac:dyDescent="0.25">
      <c r="B417" s="859">
        <v>40350</v>
      </c>
      <c r="C417" s="558" t="s">
        <v>2349</v>
      </c>
      <c r="D417" s="558"/>
      <c r="E417" s="565" t="s">
        <v>701</v>
      </c>
      <c r="F417" s="548" t="s">
        <v>707</v>
      </c>
      <c r="G417" s="565" t="s">
        <v>703</v>
      </c>
      <c r="H417" s="548" t="s">
        <v>704</v>
      </c>
      <c r="I417" s="548" t="s">
        <v>23</v>
      </c>
      <c r="J417" s="548" t="s">
        <v>705</v>
      </c>
      <c r="K417" s="570">
        <v>10344.82</v>
      </c>
      <c r="L417" s="570">
        <v>36.9</v>
      </c>
      <c r="M417" s="552">
        <f t="shared" si="30"/>
        <v>280.34742547425475</v>
      </c>
      <c r="N417" s="562">
        <v>60</v>
      </c>
      <c r="O417" s="563">
        <f t="shared" si="31"/>
        <v>172.41366666666667</v>
      </c>
      <c r="P417" s="564">
        <f t="shared" ca="1" si="32"/>
        <v>183</v>
      </c>
      <c r="Q417" s="552">
        <f t="shared" ca="1" si="33"/>
        <v>-21206.881000000001</v>
      </c>
      <c r="R417" s="563">
        <f t="shared" ca="1" si="34"/>
        <v>1</v>
      </c>
      <c r="S417" s="565" t="s">
        <v>706</v>
      </c>
    </row>
    <row r="418" spans="2:19" ht="39.950000000000003" customHeight="1" x14ac:dyDescent="0.25">
      <c r="B418" s="859">
        <v>40352</v>
      </c>
      <c r="C418" s="558" t="s">
        <v>2349</v>
      </c>
      <c r="D418" s="558"/>
      <c r="E418" s="565" t="s">
        <v>712</v>
      </c>
      <c r="F418" s="548" t="s">
        <v>717</v>
      </c>
      <c r="G418" s="565" t="s">
        <v>718</v>
      </c>
      <c r="H418" s="548" t="s">
        <v>719</v>
      </c>
      <c r="I418" s="548" t="s">
        <v>23</v>
      </c>
      <c r="J418" s="548" t="s">
        <v>705</v>
      </c>
      <c r="K418" s="570">
        <v>25775.86</v>
      </c>
      <c r="L418" s="570">
        <v>36.9</v>
      </c>
      <c r="M418" s="552">
        <f t="shared" si="30"/>
        <v>698.53279132791329</v>
      </c>
      <c r="N418" s="562">
        <v>60</v>
      </c>
      <c r="O418" s="563">
        <f t="shared" si="31"/>
        <v>429.59766666666667</v>
      </c>
      <c r="P418" s="564">
        <f t="shared" ca="1" si="32"/>
        <v>183</v>
      </c>
      <c r="Q418" s="552">
        <f t="shared" ca="1" si="33"/>
        <v>-52840.513000000006</v>
      </c>
      <c r="R418" s="563">
        <f t="shared" ca="1" si="34"/>
        <v>1</v>
      </c>
      <c r="S418" s="565" t="s">
        <v>716</v>
      </c>
    </row>
    <row r="419" spans="2:19" ht="39.950000000000003" customHeight="1" x14ac:dyDescent="0.25">
      <c r="B419" s="859">
        <v>40352</v>
      </c>
      <c r="C419" s="558" t="s">
        <v>2349</v>
      </c>
      <c r="D419" s="558"/>
      <c r="E419" s="565" t="s">
        <v>712</v>
      </c>
      <c r="F419" s="548" t="s">
        <v>713</v>
      </c>
      <c r="G419" s="565" t="s">
        <v>714</v>
      </c>
      <c r="H419" s="548" t="s">
        <v>715</v>
      </c>
      <c r="I419" s="548" t="s">
        <v>23</v>
      </c>
      <c r="J419" s="548" t="s">
        <v>705</v>
      </c>
      <c r="K419" s="570">
        <v>3775.66</v>
      </c>
      <c r="L419" s="570">
        <v>36.9</v>
      </c>
      <c r="M419" s="552">
        <f t="shared" si="30"/>
        <v>102.32140921409214</v>
      </c>
      <c r="N419" s="562">
        <v>60</v>
      </c>
      <c r="O419" s="563">
        <f t="shared" si="31"/>
        <v>62.927666666666667</v>
      </c>
      <c r="P419" s="564">
        <f t="shared" ca="1" si="32"/>
        <v>183</v>
      </c>
      <c r="Q419" s="552">
        <f t="shared" ca="1" si="33"/>
        <v>-7740.103000000001</v>
      </c>
      <c r="R419" s="563">
        <f t="shared" ca="1" si="34"/>
        <v>1</v>
      </c>
      <c r="S419" s="565" t="s">
        <v>716</v>
      </c>
    </row>
    <row r="420" spans="2:19" ht="39.950000000000003" customHeight="1" x14ac:dyDescent="0.25">
      <c r="B420" s="859">
        <v>40364</v>
      </c>
      <c r="C420" s="558" t="s">
        <v>2349</v>
      </c>
      <c r="D420" s="558"/>
      <c r="E420" s="565" t="s">
        <v>720</v>
      </c>
      <c r="F420" s="548" t="s">
        <v>721</v>
      </c>
      <c r="G420" s="565" t="s">
        <v>722</v>
      </c>
      <c r="H420" s="548" t="s">
        <v>28</v>
      </c>
      <c r="I420" s="548" t="s">
        <v>723</v>
      </c>
      <c r="J420" s="548" t="s">
        <v>19</v>
      </c>
      <c r="K420" s="570">
        <v>14160</v>
      </c>
      <c r="L420" s="572">
        <v>36.76</v>
      </c>
      <c r="M420" s="552">
        <f t="shared" si="30"/>
        <v>385.20130576713819</v>
      </c>
      <c r="N420" s="562">
        <v>60</v>
      </c>
      <c r="O420" s="563">
        <f t="shared" si="31"/>
        <v>236</v>
      </c>
      <c r="P420" s="564">
        <f t="shared" ca="1" si="32"/>
        <v>183</v>
      </c>
      <c r="Q420" s="552">
        <f t="shared" ca="1" si="33"/>
        <v>-29028</v>
      </c>
      <c r="R420" s="563">
        <f t="shared" ca="1" si="34"/>
        <v>1</v>
      </c>
      <c r="S420" s="573" t="s">
        <v>61</v>
      </c>
    </row>
    <row r="421" spans="2:19" ht="71.25" customHeight="1" x14ac:dyDescent="0.25">
      <c r="B421" s="859">
        <v>40379</v>
      </c>
      <c r="C421" s="558" t="s">
        <v>2349</v>
      </c>
      <c r="D421" s="558"/>
      <c r="E421" s="565" t="s">
        <v>724</v>
      </c>
      <c r="F421" s="548" t="s">
        <v>725</v>
      </c>
      <c r="G421" s="565" t="s">
        <v>726</v>
      </c>
      <c r="H421" s="548" t="s">
        <v>727</v>
      </c>
      <c r="I421" s="548" t="s">
        <v>60</v>
      </c>
      <c r="J421" s="548" t="s">
        <v>19</v>
      </c>
      <c r="K421" s="570">
        <v>50740.94</v>
      </c>
      <c r="L421" s="570">
        <v>36.799999999999997</v>
      </c>
      <c r="M421" s="552">
        <f t="shared" si="30"/>
        <v>1378.8298913043479</v>
      </c>
      <c r="N421" s="562">
        <v>60</v>
      </c>
      <c r="O421" s="563">
        <f t="shared" si="31"/>
        <v>845.68233333333342</v>
      </c>
      <c r="P421" s="564">
        <f t="shared" ca="1" si="32"/>
        <v>182</v>
      </c>
      <c r="Q421" s="552">
        <f t="shared" ca="1" si="33"/>
        <v>-103173.24466666667</v>
      </c>
      <c r="R421" s="563">
        <f t="shared" ca="1" si="34"/>
        <v>1</v>
      </c>
      <c r="S421" s="565" t="s">
        <v>728</v>
      </c>
    </row>
    <row r="422" spans="2:19" ht="73.5" customHeight="1" x14ac:dyDescent="0.25">
      <c r="B422" s="859">
        <v>40380</v>
      </c>
      <c r="C422" s="558" t="s">
        <v>2349</v>
      </c>
      <c r="D422" s="558"/>
      <c r="E422" s="565" t="s">
        <v>729</v>
      </c>
      <c r="F422" s="548" t="s">
        <v>730</v>
      </c>
      <c r="G422" s="565" t="s">
        <v>731</v>
      </c>
      <c r="H422" s="841" t="s">
        <v>732</v>
      </c>
      <c r="I422" s="548" t="s">
        <v>40</v>
      </c>
      <c r="J422" s="548" t="s">
        <v>19</v>
      </c>
      <c r="K422" s="570">
        <v>801208.86</v>
      </c>
      <c r="L422" s="570">
        <v>36.752699999999997</v>
      </c>
      <c r="M422" s="552">
        <f t="shared" si="30"/>
        <v>21800</v>
      </c>
      <c r="N422" s="562">
        <v>60</v>
      </c>
      <c r="O422" s="563">
        <f t="shared" si="31"/>
        <v>13353.481</v>
      </c>
      <c r="P422" s="564">
        <f t="shared" ca="1" si="32"/>
        <v>182</v>
      </c>
      <c r="Q422" s="552">
        <f t="shared" ca="1" si="33"/>
        <v>-1629124.682</v>
      </c>
      <c r="R422" s="563">
        <f t="shared" ca="1" si="34"/>
        <v>1</v>
      </c>
      <c r="S422" s="565" t="s">
        <v>733</v>
      </c>
    </row>
    <row r="423" spans="2:19" ht="39.950000000000003" customHeight="1" x14ac:dyDescent="0.25">
      <c r="B423" s="859">
        <v>40421</v>
      </c>
      <c r="C423" s="558" t="s">
        <v>2349</v>
      </c>
      <c r="D423" s="558"/>
      <c r="E423" s="565" t="s">
        <v>734</v>
      </c>
      <c r="F423" s="548" t="s">
        <v>735</v>
      </c>
      <c r="G423" s="565" t="s">
        <v>736</v>
      </c>
      <c r="H423" s="548">
        <v>41089908</v>
      </c>
      <c r="I423" s="548" t="s">
        <v>23</v>
      </c>
      <c r="J423" s="548" t="s">
        <v>737</v>
      </c>
      <c r="K423" s="570">
        <v>561080.64</v>
      </c>
      <c r="L423" s="572">
        <v>36.909999999999997</v>
      </c>
      <c r="M423" s="552">
        <f t="shared" si="30"/>
        <v>15201.317800054188</v>
      </c>
      <c r="N423" s="562">
        <v>60</v>
      </c>
      <c r="O423" s="563">
        <f t="shared" si="31"/>
        <v>9351.344000000001</v>
      </c>
      <c r="P423" s="564">
        <f t="shared" ca="1" si="32"/>
        <v>181</v>
      </c>
      <c r="Q423" s="552">
        <f t="shared" ca="1" si="33"/>
        <v>-1131512.6240000003</v>
      </c>
      <c r="R423" s="563">
        <f t="shared" ca="1" si="34"/>
        <v>1</v>
      </c>
      <c r="S423" s="565" t="s">
        <v>738</v>
      </c>
    </row>
    <row r="424" spans="2:19" ht="50.25" customHeight="1" x14ac:dyDescent="0.25">
      <c r="B424" s="859">
        <v>40441</v>
      </c>
      <c r="C424" s="558" t="s">
        <v>2349</v>
      </c>
      <c r="D424" s="558"/>
      <c r="E424" s="565" t="s">
        <v>739</v>
      </c>
      <c r="F424" s="548" t="s">
        <v>740</v>
      </c>
      <c r="G424" s="565" t="s">
        <v>741</v>
      </c>
      <c r="H424" s="548" t="s">
        <v>28</v>
      </c>
      <c r="I424" s="548" t="s">
        <v>742</v>
      </c>
      <c r="J424" s="548" t="s">
        <v>19</v>
      </c>
      <c r="K424" s="570">
        <v>7584.05</v>
      </c>
      <c r="L424" s="570">
        <v>36.97</v>
      </c>
      <c r="M424" s="552">
        <f t="shared" si="30"/>
        <v>205.14065458479848</v>
      </c>
      <c r="N424" s="562">
        <v>60</v>
      </c>
      <c r="O424" s="563">
        <f t="shared" si="31"/>
        <v>126.40083333333334</v>
      </c>
      <c r="P424" s="564">
        <f t="shared" ca="1" si="32"/>
        <v>180</v>
      </c>
      <c r="Q424" s="552">
        <f t="shared" ca="1" si="33"/>
        <v>-15168.100000000002</v>
      </c>
      <c r="R424" s="563">
        <f t="shared" ca="1" si="34"/>
        <v>1</v>
      </c>
      <c r="S424" s="565" t="s">
        <v>699</v>
      </c>
    </row>
    <row r="425" spans="2:19" ht="39.950000000000003" customHeight="1" x14ac:dyDescent="0.25">
      <c r="B425" s="859">
        <v>40441</v>
      </c>
      <c r="C425" s="558" t="s">
        <v>2349</v>
      </c>
      <c r="D425" s="558"/>
      <c r="E425" s="565" t="s">
        <v>739</v>
      </c>
      <c r="F425" s="548" t="s">
        <v>743</v>
      </c>
      <c r="G425" s="565" t="s">
        <v>741</v>
      </c>
      <c r="H425" s="548" t="s">
        <v>28</v>
      </c>
      <c r="I425" s="548" t="s">
        <v>742</v>
      </c>
      <c r="J425" s="548" t="s">
        <v>19</v>
      </c>
      <c r="K425" s="570">
        <v>7584.05</v>
      </c>
      <c r="L425" s="570">
        <v>36.97</v>
      </c>
      <c r="M425" s="552">
        <f t="shared" si="30"/>
        <v>205.14065458479848</v>
      </c>
      <c r="N425" s="562">
        <v>60</v>
      </c>
      <c r="O425" s="563">
        <f t="shared" si="31"/>
        <v>126.40083333333334</v>
      </c>
      <c r="P425" s="564">
        <f t="shared" ca="1" si="32"/>
        <v>180</v>
      </c>
      <c r="Q425" s="552">
        <f t="shared" ca="1" si="33"/>
        <v>-15168.100000000002</v>
      </c>
      <c r="R425" s="563">
        <f t="shared" ca="1" si="34"/>
        <v>1</v>
      </c>
      <c r="S425" s="565" t="s">
        <v>699</v>
      </c>
    </row>
    <row r="426" spans="2:19" ht="39.950000000000003" customHeight="1" x14ac:dyDescent="0.25">
      <c r="B426" s="859">
        <v>40450</v>
      </c>
      <c r="C426" s="558" t="s">
        <v>2349</v>
      </c>
      <c r="D426" s="558"/>
      <c r="E426" s="565" t="s">
        <v>744</v>
      </c>
      <c r="F426" s="548" t="s">
        <v>757</v>
      </c>
      <c r="G426" s="565" t="s">
        <v>758</v>
      </c>
      <c r="H426" s="548" t="s">
        <v>759</v>
      </c>
      <c r="I426" s="548" t="s">
        <v>23</v>
      </c>
      <c r="J426" s="548" t="s">
        <v>737</v>
      </c>
      <c r="K426" s="570">
        <v>42000</v>
      </c>
      <c r="L426" s="570">
        <v>36.950000000000003</v>
      </c>
      <c r="M426" s="552">
        <f t="shared" si="30"/>
        <v>1136.6711772665765</v>
      </c>
      <c r="N426" s="562">
        <v>60</v>
      </c>
      <c r="O426" s="563">
        <f t="shared" si="31"/>
        <v>700</v>
      </c>
      <c r="P426" s="564">
        <f t="shared" ca="1" si="32"/>
        <v>180</v>
      </c>
      <c r="Q426" s="552">
        <f t="shared" ca="1" si="33"/>
        <v>-84000</v>
      </c>
      <c r="R426" s="563">
        <f t="shared" ca="1" si="34"/>
        <v>1</v>
      </c>
      <c r="S426" s="565" t="s">
        <v>748</v>
      </c>
    </row>
    <row r="427" spans="2:19" ht="39.950000000000003" customHeight="1" x14ac:dyDescent="0.25">
      <c r="B427" s="859">
        <v>40450</v>
      </c>
      <c r="C427" s="558" t="s">
        <v>2349</v>
      </c>
      <c r="D427" s="558"/>
      <c r="E427" s="565" t="s">
        <v>744</v>
      </c>
      <c r="F427" s="548" t="s">
        <v>760</v>
      </c>
      <c r="G427" s="565" t="s">
        <v>758</v>
      </c>
      <c r="H427" s="548" t="s">
        <v>761</v>
      </c>
      <c r="I427" s="548" t="s">
        <v>23</v>
      </c>
      <c r="J427" s="548" t="s">
        <v>737</v>
      </c>
      <c r="K427" s="570">
        <v>42000</v>
      </c>
      <c r="L427" s="570">
        <v>36.950000000000003</v>
      </c>
      <c r="M427" s="552">
        <f t="shared" si="30"/>
        <v>1136.6711772665765</v>
      </c>
      <c r="N427" s="562">
        <v>60</v>
      </c>
      <c r="O427" s="563">
        <f t="shared" si="31"/>
        <v>700</v>
      </c>
      <c r="P427" s="564">
        <f t="shared" ca="1" si="32"/>
        <v>180</v>
      </c>
      <c r="Q427" s="552">
        <f t="shared" ca="1" si="33"/>
        <v>-84000</v>
      </c>
      <c r="R427" s="563">
        <f t="shared" ca="1" si="34"/>
        <v>1</v>
      </c>
      <c r="S427" s="565" t="s">
        <v>748</v>
      </c>
    </row>
    <row r="428" spans="2:19" ht="39.950000000000003" customHeight="1" x14ac:dyDescent="0.25">
      <c r="B428" s="859">
        <v>40450</v>
      </c>
      <c r="C428" s="558" t="s">
        <v>2349</v>
      </c>
      <c r="D428" s="558"/>
      <c r="E428" s="565" t="s">
        <v>744</v>
      </c>
      <c r="F428" s="548" t="s">
        <v>754</v>
      </c>
      <c r="G428" s="565" t="s">
        <v>755</v>
      </c>
      <c r="H428" s="548" t="s">
        <v>756</v>
      </c>
      <c r="I428" s="548" t="s">
        <v>23</v>
      </c>
      <c r="J428" s="548" t="s">
        <v>737</v>
      </c>
      <c r="K428" s="570">
        <v>5500</v>
      </c>
      <c r="L428" s="570">
        <v>36.950000000000003</v>
      </c>
      <c r="M428" s="552">
        <f t="shared" si="30"/>
        <v>148.84979702300404</v>
      </c>
      <c r="N428" s="562">
        <v>60</v>
      </c>
      <c r="O428" s="563">
        <f t="shared" si="31"/>
        <v>91.666666666666671</v>
      </c>
      <c r="P428" s="564">
        <f t="shared" ca="1" si="32"/>
        <v>180</v>
      </c>
      <c r="Q428" s="552">
        <f t="shared" ca="1" si="33"/>
        <v>-11000</v>
      </c>
      <c r="R428" s="563">
        <f t="shared" ca="1" si="34"/>
        <v>1</v>
      </c>
      <c r="S428" s="565" t="s">
        <v>748</v>
      </c>
    </row>
    <row r="429" spans="2:19" ht="39.950000000000003" customHeight="1" x14ac:dyDescent="0.25">
      <c r="B429" s="859">
        <v>40450</v>
      </c>
      <c r="C429" s="558" t="s">
        <v>2349</v>
      </c>
      <c r="D429" s="558"/>
      <c r="E429" s="565" t="s">
        <v>744</v>
      </c>
      <c r="F429" s="548" t="s">
        <v>752</v>
      </c>
      <c r="G429" s="565" t="s">
        <v>753</v>
      </c>
      <c r="H429" s="548" t="s">
        <v>28</v>
      </c>
      <c r="I429" s="548" t="s">
        <v>23</v>
      </c>
      <c r="J429" s="548" t="s">
        <v>737</v>
      </c>
      <c r="K429" s="570">
        <v>57300</v>
      </c>
      <c r="L429" s="570">
        <v>36.950000000000003</v>
      </c>
      <c r="M429" s="552">
        <f t="shared" si="30"/>
        <v>1550.7442489851148</v>
      </c>
      <c r="N429" s="562">
        <v>60</v>
      </c>
      <c r="O429" s="563">
        <f t="shared" si="31"/>
        <v>955</v>
      </c>
      <c r="P429" s="564">
        <f t="shared" ca="1" si="32"/>
        <v>180</v>
      </c>
      <c r="Q429" s="552">
        <f t="shared" ca="1" si="33"/>
        <v>-114600</v>
      </c>
      <c r="R429" s="563">
        <f t="shared" ca="1" si="34"/>
        <v>1</v>
      </c>
      <c r="S429" s="565" t="s">
        <v>748</v>
      </c>
    </row>
    <row r="430" spans="2:19" ht="39.950000000000003" customHeight="1" x14ac:dyDescent="0.25">
      <c r="B430" s="859">
        <v>40450</v>
      </c>
      <c r="C430" s="558" t="s">
        <v>2349</v>
      </c>
      <c r="D430" s="558"/>
      <c r="E430" s="565" t="s">
        <v>744</v>
      </c>
      <c r="F430" s="548" t="s">
        <v>749</v>
      </c>
      <c r="G430" s="565" t="s">
        <v>698</v>
      </c>
      <c r="H430" s="548" t="s">
        <v>28</v>
      </c>
      <c r="I430" s="548" t="s">
        <v>23</v>
      </c>
      <c r="J430" s="548" t="s">
        <v>737</v>
      </c>
      <c r="K430" s="570">
        <v>22500</v>
      </c>
      <c r="L430" s="570">
        <v>36.950000000000003</v>
      </c>
      <c r="M430" s="552">
        <f t="shared" si="30"/>
        <v>608.9309878213802</v>
      </c>
      <c r="N430" s="562">
        <v>60</v>
      </c>
      <c r="O430" s="563">
        <f t="shared" si="31"/>
        <v>375</v>
      </c>
      <c r="P430" s="564">
        <f t="shared" ca="1" si="32"/>
        <v>180</v>
      </c>
      <c r="Q430" s="552">
        <f t="shared" ca="1" si="33"/>
        <v>-45000</v>
      </c>
      <c r="R430" s="563">
        <f t="shared" ca="1" si="34"/>
        <v>1</v>
      </c>
      <c r="S430" s="565" t="s">
        <v>748</v>
      </c>
    </row>
    <row r="431" spans="2:19" ht="39.950000000000003" customHeight="1" x14ac:dyDescent="0.25">
      <c r="B431" s="859">
        <v>40450</v>
      </c>
      <c r="C431" s="558" t="s">
        <v>2349</v>
      </c>
      <c r="D431" s="558"/>
      <c r="E431" s="565" t="s">
        <v>744</v>
      </c>
      <c r="F431" s="548" t="s">
        <v>750</v>
      </c>
      <c r="G431" s="565" t="s">
        <v>698</v>
      </c>
      <c r="H431" s="548" t="s">
        <v>28</v>
      </c>
      <c r="I431" s="548" t="s">
        <v>23</v>
      </c>
      <c r="J431" s="548" t="s">
        <v>737</v>
      </c>
      <c r="K431" s="570">
        <v>22500</v>
      </c>
      <c r="L431" s="570">
        <v>36.950000000000003</v>
      </c>
      <c r="M431" s="552">
        <f t="shared" si="30"/>
        <v>608.9309878213802</v>
      </c>
      <c r="N431" s="562">
        <v>60</v>
      </c>
      <c r="O431" s="563">
        <f t="shared" si="31"/>
        <v>375</v>
      </c>
      <c r="P431" s="564">
        <f t="shared" ca="1" si="32"/>
        <v>180</v>
      </c>
      <c r="Q431" s="552">
        <f t="shared" ca="1" si="33"/>
        <v>-45000</v>
      </c>
      <c r="R431" s="563">
        <f t="shared" ca="1" si="34"/>
        <v>1</v>
      </c>
      <c r="S431" s="565" t="s">
        <v>748</v>
      </c>
    </row>
    <row r="432" spans="2:19" ht="39.950000000000003" customHeight="1" x14ac:dyDescent="0.25">
      <c r="B432" s="859">
        <v>40450</v>
      </c>
      <c r="C432" s="558" t="s">
        <v>2349</v>
      </c>
      <c r="D432" s="558"/>
      <c r="E432" s="565" t="s">
        <v>744</v>
      </c>
      <c r="F432" s="548" t="s">
        <v>751</v>
      </c>
      <c r="G432" s="565" t="s">
        <v>698</v>
      </c>
      <c r="H432" s="548" t="s">
        <v>28</v>
      </c>
      <c r="I432" s="548" t="s">
        <v>23</v>
      </c>
      <c r="J432" s="548" t="s">
        <v>737</v>
      </c>
      <c r="K432" s="570">
        <v>22500</v>
      </c>
      <c r="L432" s="570">
        <v>36.950000000000003</v>
      </c>
      <c r="M432" s="552">
        <f t="shared" si="30"/>
        <v>608.9309878213802</v>
      </c>
      <c r="N432" s="562">
        <v>60</v>
      </c>
      <c r="O432" s="563">
        <f t="shared" si="31"/>
        <v>375</v>
      </c>
      <c r="P432" s="564">
        <f t="shared" ca="1" si="32"/>
        <v>180</v>
      </c>
      <c r="Q432" s="552">
        <f t="shared" ca="1" si="33"/>
        <v>-45000</v>
      </c>
      <c r="R432" s="563">
        <f t="shared" ca="1" si="34"/>
        <v>1</v>
      </c>
      <c r="S432" s="565" t="s">
        <v>748</v>
      </c>
    </row>
    <row r="433" spans="2:19" ht="52.5" customHeight="1" x14ac:dyDescent="0.25">
      <c r="B433" s="859">
        <v>40450</v>
      </c>
      <c r="C433" s="558" t="s">
        <v>2349</v>
      </c>
      <c r="D433" s="558"/>
      <c r="E433" s="565" t="s">
        <v>744</v>
      </c>
      <c r="F433" s="548" t="s">
        <v>745</v>
      </c>
      <c r="G433" s="565" t="s">
        <v>746</v>
      </c>
      <c r="H433" s="548" t="s">
        <v>747</v>
      </c>
      <c r="I433" s="548" t="s">
        <v>23</v>
      </c>
      <c r="J433" s="548" t="s">
        <v>737</v>
      </c>
      <c r="K433" s="570">
        <v>48000</v>
      </c>
      <c r="L433" s="570">
        <v>36.950000000000003</v>
      </c>
      <c r="M433" s="552">
        <f t="shared" si="30"/>
        <v>1299.0527740189443</v>
      </c>
      <c r="N433" s="562">
        <v>60</v>
      </c>
      <c r="O433" s="563">
        <f t="shared" si="31"/>
        <v>800</v>
      </c>
      <c r="P433" s="564">
        <f t="shared" ca="1" si="32"/>
        <v>180</v>
      </c>
      <c r="Q433" s="552">
        <f t="shared" ca="1" si="33"/>
        <v>-96000</v>
      </c>
      <c r="R433" s="563">
        <f t="shared" ca="1" si="34"/>
        <v>1</v>
      </c>
      <c r="S433" s="565" t="s">
        <v>748</v>
      </c>
    </row>
    <row r="434" spans="2:19" ht="47.1" customHeight="1" x14ac:dyDescent="0.25">
      <c r="B434" s="859">
        <v>40506</v>
      </c>
      <c r="C434" s="558" t="s">
        <v>2349</v>
      </c>
      <c r="D434" s="558"/>
      <c r="E434" s="565" t="s">
        <v>762</v>
      </c>
      <c r="F434" s="548" t="s">
        <v>763</v>
      </c>
      <c r="G434" s="565" t="s">
        <v>698</v>
      </c>
      <c r="H434" s="548" t="s">
        <v>28</v>
      </c>
      <c r="I434" s="548" t="s">
        <v>764</v>
      </c>
      <c r="J434" s="548" t="s">
        <v>19</v>
      </c>
      <c r="K434" s="570">
        <v>7584.05</v>
      </c>
      <c r="L434" s="570">
        <v>37.24</v>
      </c>
      <c r="M434" s="552">
        <f t="shared" si="30"/>
        <v>203.65332975295379</v>
      </c>
      <c r="N434" s="562">
        <v>60</v>
      </c>
      <c r="O434" s="563">
        <f t="shared" si="31"/>
        <v>126.40083333333334</v>
      </c>
      <c r="P434" s="564">
        <f t="shared" ca="1" si="32"/>
        <v>178</v>
      </c>
      <c r="Q434" s="552">
        <f t="shared" ca="1" si="33"/>
        <v>-14915.298333333336</v>
      </c>
      <c r="R434" s="563">
        <f t="shared" ca="1" si="34"/>
        <v>1</v>
      </c>
      <c r="S434" s="565" t="s">
        <v>699</v>
      </c>
    </row>
    <row r="435" spans="2:19" ht="47.1" customHeight="1" x14ac:dyDescent="0.25">
      <c r="B435" s="859">
        <v>40506</v>
      </c>
      <c r="C435" s="558" t="s">
        <v>2349</v>
      </c>
      <c r="D435" s="558"/>
      <c r="E435" s="565" t="s">
        <v>762</v>
      </c>
      <c r="F435" s="548" t="s">
        <v>765</v>
      </c>
      <c r="G435" s="565" t="s">
        <v>698</v>
      </c>
      <c r="H435" s="548" t="s">
        <v>28</v>
      </c>
      <c r="I435" s="548" t="s">
        <v>764</v>
      </c>
      <c r="J435" s="548" t="s">
        <v>19</v>
      </c>
      <c r="K435" s="570">
        <v>7584.05</v>
      </c>
      <c r="L435" s="570">
        <v>37.24</v>
      </c>
      <c r="M435" s="552">
        <f t="shared" si="30"/>
        <v>203.65332975295379</v>
      </c>
      <c r="N435" s="562">
        <v>60</v>
      </c>
      <c r="O435" s="563">
        <f t="shared" si="31"/>
        <v>126.40083333333334</v>
      </c>
      <c r="P435" s="564">
        <f t="shared" ca="1" si="32"/>
        <v>178</v>
      </c>
      <c r="Q435" s="552">
        <f t="shared" ca="1" si="33"/>
        <v>-14915.298333333336</v>
      </c>
      <c r="R435" s="563">
        <f t="shared" ca="1" si="34"/>
        <v>1</v>
      </c>
      <c r="S435" s="565" t="s">
        <v>699</v>
      </c>
    </row>
    <row r="436" spans="2:19" ht="47.1" customHeight="1" x14ac:dyDescent="0.25">
      <c r="B436" s="859">
        <v>40582</v>
      </c>
      <c r="C436" s="558" t="s">
        <v>2349</v>
      </c>
      <c r="D436" s="558"/>
      <c r="E436" s="565" t="s">
        <v>766</v>
      </c>
      <c r="F436" s="548" t="s">
        <v>767</v>
      </c>
      <c r="G436" s="565" t="s">
        <v>768</v>
      </c>
      <c r="H436" s="571" t="s">
        <v>769</v>
      </c>
      <c r="I436" s="548" t="s">
        <v>60</v>
      </c>
      <c r="J436" s="548" t="s">
        <v>19</v>
      </c>
      <c r="K436" s="570">
        <v>51577.599801000004</v>
      </c>
      <c r="L436" s="570">
        <v>37.520000000000003</v>
      </c>
      <c r="M436" s="552">
        <f t="shared" si="30"/>
        <v>1374.6695042910449</v>
      </c>
      <c r="N436" s="562">
        <v>60</v>
      </c>
      <c r="O436" s="563">
        <f t="shared" si="31"/>
        <v>859.62666335000006</v>
      </c>
      <c r="P436" s="564">
        <f t="shared" ca="1" si="32"/>
        <v>176</v>
      </c>
      <c r="Q436" s="552">
        <f t="shared" ca="1" si="33"/>
        <v>-99716.692948600015</v>
      </c>
      <c r="R436" s="563">
        <f t="shared" ca="1" si="34"/>
        <v>1</v>
      </c>
      <c r="S436" s="565" t="s">
        <v>770</v>
      </c>
    </row>
    <row r="437" spans="2:19" ht="47.1" customHeight="1" x14ac:dyDescent="0.25">
      <c r="B437" s="859">
        <v>40582</v>
      </c>
      <c r="C437" s="558" t="s">
        <v>2349</v>
      </c>
      <c r="D437" s="558"/>
      <c r="E437" s="565" t="s">
        <v>766</v>
      </c>
      <c r="F437" s="548" t="s">
        <v>771</v>
      </c>
      <c r="G437" s="565" t="s">
        <v>768</v>
      </c>
      <c r="H437" s="571" t="s">
        <v>772</v>
      </c>
      <c r="I437" s="548" t="s">
        <v>60</v>
      </c>
      <c r="J437" s="548" t="s">
        <v>19</v>
      </c>
      <c r="K437" s="570">
        <v>51577.599801000004</v>
      </c>
      <c r="L437" s="570">
        <v>37.520000000000003</v>
      </c>
      <c r="M437" s="552">
        <f t="shared" si="30"/>
        <v>1374.6695042910449</v>
      </c>
      <c r="N437" s="562">
        <v>60</v>
      </c>
      <c r="O437" s="563">
        <f t="shared" si="31"/>
        <v>859.62666335000006</v>
      </c>
      <c r="P437" s="564">
        <f t="shared" ca="1" si="32"/>
        <v>176</v>
      </c>
      <c r="Q437" s="552">
        <f t="shared" ca="1" si="33"/>
        <v>-99716.692948600015</v>
      </c>
      <c r="R437" s="563">
        <f t="shared" ca="1" si="34"/>
        <v>1</v>
      </c>
      <c r="S437" s="565" t="s">
        <v>770</v>
      </c>
    </row>
    <row r="438" spans="2:19" ht="47.1" customHeight="1" x14ac:dyDescent="0.25">
      <c r="B438" s="859">
        <v>40582</v>
      </c>
      <c r="C438" s="558" t="s">
        <v>2349</v>
      </c>
      <c r="D438" s="558"/>
      <c r="E438" s="565" t="s">
        <v>766</v>
      </c>
      <c r="F438" s="548" t="s">
        <v>773</v>
      </c>
      <c r="G438" s="565" t="s">
        <v>768</v>
      </c>
      <c r="H438" s="571" t="s">
        <v>774</v>
      </c>
      <c r="I438" s="548" t="s">
        <v>23</v>
      </c>
      <c r="J438" s="548" t="s">
        <v>24</v>
      </c>
      <c r="K438" s="570">
        <v>51577.599801000004</v>
      </c>
      <c r="L438" s="570">
        <v>37.520000000000003</v>
      </c>
      <c r="M438" s="552">
        <f t="shared" si="30"/>
        <v>1374.6695042910449</v>
      </c>
      <c r="N438" s="562">
        <v>60</v>
      </c>
      <c r="O438" s="563">
        <f t="shared" si="31"/>
        <v>859.62666335000006</v>
      </c>
      <c r="P438" s="564">
        <f t="shared" ca="1" si="32"/>
        <v>176</v>
      </c>
      <c r="Q438" s="552">
        <f t="shared" ca="1" si="33"/>
        <v>-99716.692948600015</v>
      </c>
      <c r="R438" s="563">
        <f t="shared" ca="1" si="34"/>
        <v>1</v>
      </c>
      <c r="S438" s="565" t="s">
        <v>770</v>
      </c>
    </row>
    <row r="439" spans="2:19" ht="39.950000000000003" customHeight="1" x14ac:dyDescent="0.25">
      <c r="B439" s="859">
        <v>40590</v>
      </c>
      <c r="C439" s="558" t="s">
        <v>2349</v>
      </c>
      <c r="D439" s="558"/>
      <c r="E439" s="565" t="s">
        <v>775</v>
      </c>
      <c r="F439" s="548" t="s">
        <v>778</v>
      </c>
      <c r="G439" s="565" t="s">
        <v>776</v>
      </c>
      <c r="H439" s="571" t="s">
        <v>779</v>
      </c>
      <c r="I439" s="548" t="s">
        <v>4394</v>
      </c>
      <c r="J439" s="548" t="s">
        <v>19</v>
      </c>
      <c r="K439" s="570">
        <v>64872</v>
      </c>
      <c r="L439" s="570">
        <v>37.61</v>
      </c>
      <c r="M439" s="552">
        <f t="shared" si="30"/>
        <v>1724.8604094655677</v>
      </c>
      <c r="N439" s="562">
        <v>60</v>
      </c>
      <c r="O439" s="563">
        <f t="shared" si="31"/>
        <v>1081.2</v>
      </c>
      <c r="P439" s="564">
        <f t="shared" ca="1" si="32"/>
        <v>175</v>
      </c>
      <c r="Q439" s="552">
        <f t="shared" ca="1" si="33"/>
        <v>-124338</v>
      </c>
      <c r="R439" s="563">
        <f t="shared" ca="1" si="34"/>
        <v>1</v>
      </c>
      <c r="S439" s="565" t="s">
        <v>777</v>
      </c>
    </row>
    <row r="440" spans="2:19" ht="39.950000000000003" customHeight="1" x14ac:dyDescent="0.25">
      <c r="B440" s="859">
        <v>40661</v>
      </c>
      <c r="C440" s="558" t="s">
        <v>2349</v>
      </c>
      <c r="D440" s="558"/>
      <c r="E440" s="565" t="s">
        <v>782</v>
      </c>
      <c r="F440" s="548" t="s">
        <v>783</v>
      </c>
      <c r="G440" s="565" t="s">
        <v>784</v>
      </c>
      <c r="H440" s="571" t="s">
        <v>785</v>
      </c>
      <c r="I440" s="548" t="s">
        <v>780</v>
      </c>
      <c r="J440" s="548" t="s">
        <v>781</v>
      </c>
      <c r="K440" s="570">
        <v>22745.999999999996</v>
      </c>
      <c r="L440" s="570">
        <v>37.909999999999997</v>
      </c>
      <c r="M440" s="552">
        <f t="shared" si="30"/>
        <v>600</v>
      </c>
      <c r="N440" s="562">
        <v>60</v>
      </c>
      <c r="O440" s="563">
        <f t="shared" si="31"/>
        <v>379.09999999999997</v>
      </c>
      <c r="P440" s="564">
        <f t="shared" ca="1" si="32"/>
        <v>173</v>
      </c>
      <c r="Q440" s="552">
        <f t="shared" ca="1" si="33"/>
        <v>-42838.299999999988</v>
      </c>
      <c r="R440" s="563">
        <f t="shared" ca="1" si="34"/>
        <v>1</v>
      </c>
      <c r="S440" s="565" t="s">
        <v>786</v>
      </c>
    </row>
    <row r="441" spans="2:19" ht="39.950000000000003" customHeight="1" x14ac:dyDescent="0.25">
      <c r="B441" s="859">
        <v>40662</v>
      </c>
      <c r="C441" s="558" t="s">
        <v>2349</v>
      </c>
      <c r="D441" s="558"/>
      <c r="E441" s="565" t="s">
        <v>793</v>
      </c>
      <c r="F441" s="548" t="s">
        <v>794</v>
      </c>
      <c r="G441" s="565" t="s">
        <v>795</v>
      </c>
      <c r="H441" s="571" t="s">
        <v>796</v>
      </c>
      <c r="I441" s="548" t="s">
        <v>780</v>
      </c>
      <c r="J441" s="548" t="s">
        <v>781</v>
      </c>
      <c r="K441" s="570">
        <v>1996.65</v>
      </c>
      <c r="L441" s="570">
        <v>37.85</v>
      </c>
      <c r="M441" s="552">
        <f t="shared" si="30"/>
        <v>52.751651254953764</v>
      </c>
      <c r="N441" s="562">
        <v>60</v>
      </c>
      <c r="O441" s="563">
        <f t="shared" si="31"/>
        <v>33.277500000000003</v>
      </c>
      <c r="P441" s="564">
        <f t="shared" ca="1" si="32"/>
        <v>173</v>
      </c>
      <c r="Q441" s="552">
        <f t="shared" ca="1" si="33"/>
        <v>-3760.3575000000005</v>
      </c>
      <c r="R441" s="563">
        <f t="shared" ca="1" si="34"/>
        <v>1</v>
      </c>
      <c r="S441" s="565" t="s">
        <v>790</v>
      </c>
    </row>
    <row r="442" spans="2:19" ht="39.950000000000003" customHeight="1" x14ac:dyDescent="0.25">
      <c r="B442" s="859">
        <v>40662</v>
      </c>
      <c r="C442" s="558" t="s">
        <v>2349</v>
      </c>
      <c r="D442" s="558"/>
      <c r="E442" s="565" t="s">
        <v>797</v>
      </c>
      <c r="F442" s="548" t="s">
        <v>798</v>
      </c>
      <c r="G442" s="565" t="s">
        <v>799</v>
      </c>
      <c r="H442" s="571" t="s">
        <v>800</v>
      </c>
      <c r="I442" s="548" t="s">
        <v>780</v>
      </c>
      <c r="J442" s="548" t="s">
        <v>781</v>
      </c>
      <c r="K442" s="570">
        <v>4913.76</v>
      </c>
      <c r="L442" s="570">
        <v>37.85</v>
      </c>
      <c r="M442" s="552">
        <f t="shared" si="30"/>
        <v>129.821928665786</v>
      </c>
      <c r="N442" s="562">
        <v>60</v>
      </c>
      <c r="O442" s="563">
        <f t="shared" si="31"/>
        <v>81.896000000000001</v>
      </c>
      <c r="P442" s="564">
        <f t="shared" ca="1" si="32"/>
        <v>173</v>
      </c>
      <c r="Q442" s="552">
        <f t="shared" ca="1" si="33"/>
        <v>-9254.2479999999996</v>
      </c>
      <c r="R442" s="563">
        <f t="shared" ca="1" si="34"/>
        <v>1</v>
      </c>
      <c r="S442" s="565" t="s">
        <v>801</v>
      </c>
    </row>
    <row r="443" spans="2:19" ht="39.950000000000003" customHeight="1" x14ac:dyDescent="0.25">
      <c r="B443" s="859">
        <v>40662</v>
      </c>
      <c r="C443" s="558" t="s">
        <v>2349</v>
      </c>
      <c r="D443" s="558"/>
      <c r="E443" s="565" t="s">
        <v>787</v>
      </c>
      <c r="F443" s="548" t="s">
        <v>788</v>
      </c>
      <c r="G443" s="565" t="s">
        <v>789</v>
      </c>
      <c r="H443" s="571" t="s">
        <v>28</v>
      </c>
      <c r="I443" s="548" t="s">
        <v>780</v>
      </c>
      <c r="J443" s="548" t="s">
        <v>781</v>
      </c>
      <c r="K443" s="570">
        <v>10199.15</v>
      </c>
      <c r="L443" s="570">
        <v>37.85</v>
      </c>
      <c r="M443" s="552">
        <f t="shared" si="30"/>
        <v>269.46235138705413</v>
      </c>
      <c r="N443" s="562">
        <v>60</v>
      </c>
      <c r="O443" s="563">
        <f t="shared" si="31"/>
        <v>169.98583333333332</v>
      </c>
      <c r="P443" s="564">
        <f t="shared" ca="1" si="32"/>
        <v>173</v>
      </c>
      <c r="Q443" s="552">
        <f t="shared" ca="1" si="33"/>
        <v>-19208.399166666662</v>
      </c>
      <c r="R443" s="563">
        <f t="shared" ca="1" si="34"/>
        <v>1</v>
      </c>
      <c r="S443" s="565" t="s">
        <v>790</v>
      </c>
    </row>
    <row r="444" spans="2:19" ht="39.950000000000003" customHeight="1" x14ac:dyDescent="0.25">
      <c r="B444" s="859">
        <v>40662</v>
      </c>
      <c r="C444" s="558" t="s">
        <v>2349</v>
      </c>
      <c r="D444" s="558"/>
      <c r="E444" s="565" t="s">
        <v>791</v>
      </c>
      <c r="F444" s="548" t="s">
        <v>792</v>
      </c>
      <c r="G444" s="565" t="s">
        <v>789</v>
      </c>
      <c r="H444" s="571" t="s">
        <v>28</v>
      </c>
      <c r="I444" s="548" t="s">
        <v>780</v>
      </c>
      <c r="J444" s="548" t="s">
        <v>781</v>
      </c>
      <c r="K444" s="570">
        <v>10199.15</v>
      </c>
      <c r="L444" s="570">
        <v>37.85</v>
      </c>
      <c r="M444" s="552">
        <f t="shared" si="30"/>
        <v>269.46235138705413</v>
      </c>
      <c r="N444" s="562">
        <v>60</v>
      </c>
      <c r="O444" s="563">
        <f t="shared" si="31"/>
        <v>169.98583333333332</v>
      </c>
      <c r="P444" s="564">
        <f t="shared" ca="1" si="32"/>
        <v>173</v>
      </c>
      <c r="Q444" s="552">
        <f t="shared" ca="1" si="33"/>
        <v>-19208.399166666662</v>
      </c>
      <c r="R444" s="563">
        <f t="shared" ca="1" si="34"/>
        <v>1</v>
      </c>
      <c r="S444" s="565" t="s">
        <v>790</v>
      </c>
    </row>
    <row r="445" spans="2:19" ht="39.950000000000003" customHeight="1" x14ac:dyDescent="0.25">
      <c r="B445" s="859">
        <v>40663</v>
      </c>
      <c r="C445" s="558" t="s">
        <v>2349</v>
      </c>
      <c r="D445" s="558"/>
      <c r="E445" s="565" t="s">
        <v>802</v>
      </c>
      <c r="F445" s="548" t="s">
        <v>803</v>
      </c>
      <c r="G445" s="565" t="s">
        <v>804</v>
      </c>
      <c r="H445" s="571" t="s">
        <v>28</v>
      </c>
      <c r="I445" s="548" t="s">
        <v>780</v>
      </c>
      <c r="J445" s="548" t="s">
        <v>781</v>
      </c>
      <c r="K445" s="570">
        <v>2246.12</v>
      </c>
      <c r="L445" s="570">
        <v>37.85</v>
      </c>
      <c r="M445" s="552">
        <f t="shared" si="30"/>
        <v>59.342668428005275</v>
      </c>
      <c r="N445" s="562">
        <v>60</v>
      </c>
      <c r="O445" s="563">
        <f t="shared" si="31"/>
        <v>37.435333333333332</v>
      </c>
      <c r="P445" s="564">
        <f t="shared" ca="1" si="32"/>
        <v>173</v>
      </c>
      <c r="Q445" s="552">
        <f t="shared" ca="1" si="33"/>
        <v>-4230.1926666666668</v>
      </c>
      <c r="R445" s="563">
        <f t="shared" ca="1" si="34"/>
        <v>1</v>
      </c>
      <c r="S445" s="565" t="s">
        <v>805</v>
      </c>
    </row>
    <row r="446" spans="2:19" ht="39.950000000000003" customHeight="1" x14ac:dyDescent="0.25">
      <c r="B446" s="859">
        <v>40663</v>
      </c>
      <c r="C446" s="558" t="s">
        <v>2349</v>
      </c>
      <c r="D446" s="558"/>
      <c r="E446" s="565" t="s">
        <v>802</v>
      </c>
      <c r="F446" s="548" t="s">
        <v>806</v>
      </c>
      <c r="G446" s="565" t="s">
        <v>804</v>
      </c>
      <c r="H446" s="571" t="s">
        <v>28</v>
      </c>
      <c r="I446" s="548" t="s">
        <v>780</v>
      </c>
      <c r="J446" s="548" t="s">
        <v>781</v>
      </c>
      <c r="K446" s="570">
        <v>2246.12</v>
      </c>
      <c r="L446" s="570">
        <v>37.85</v>
      </c>
      <c r="M446" s="552">
        <f t="shared" si="30"/>
        <v>59.342668428005275</v>
      </c>
      <c r="N446" s="562">
        <v>60</v>
      </c>
      <c r="O446" s="563">
        <f t="shared" si="31"/>
        <v>37.435333333333332</v>
      </c>
      <c r="P446" s="564">
        <f t="shared" ca="1" si="32"/>
        <v>173</v>
      </c>
      <c r="Q446" s="552">
        <f t="shared" ca="1" si="33"/>
        <v>-4230.1926666666668</v>
      </c>
      <c r="R446" s="563">
        <f t="shared" ca="1" si="34"/>
        <v>1</v>
      </c>
      <c r="S446" s="565" t="s">
        <v>805</v>
      </c>
    </row>
    <row r="447" spans="2:19" ht="39.950000000000003" customHeight="1" x14ac:dyDescent="0.25">
      <c r="B447" s="859">
        <v>40669</v>
      </c>
      <c r="C447" s="558" t="s">
        <v>2349</v>
      </c>
      <c r="D447" s="558"/>
      <c r="E447" s="565" t="s">
        <v>807</v>
      </c>
      <c r="F447" s="548" t="s">
        <v>808</v>
      </c>
      <c r="G447" s="565" t="s">
        <v>809</v>
      </c>
      <c r="H447" s="571" t="s">
        <v>810</v>
      </c>
      <c r="I447" s="548" t="s">
        <v>40</v>
      </c>
      <c r="J447" s="548" t="s">
        <v>19</v>
      </c>
      <c r="K447" s="570">
        <v>9325</v>
      </c>
      <c r="L447" s="570">
        <v>37.85</v>
      </c>
      <c r="M447" s="552">
        <f t="shared" si="30"/>
        <v>246.3672391017173</v>
      </c>
      <c r="N447" s="562">
        <v>120</v>
      </c>
      <c r="O447" s="563">
        <f t="shared" si="31"/>
        <v>77.708333333333329</v>
      </c>
      <c r="P447" s="564">
        <f t="shared" ca="1" si="32"/>
        <v>173</v>
      </c>
      <c r="Q447" s="552">
        <f t="shared" ca="1" si="33"/>
        <v>-4118.5416666666661</v>
      </c>
      <c r="R447" s="563">
        <f t="shared" ca="1" si="34"/>
        <v>1</v>
      </c>
      <c r="S447" s="565" t="s">
        <v>811</v>
      </c>
    </row>
    <row r="448" spans="2:19" ht="47.1" customHeight="1" x14ac:dyDescent="0.25">
      <c r="B448" s="859">
        <v>40669</v>
      </c>
      <c r="C448" s="558" t="s">
        <v>2349</v>
      </c>
      <c r="D448" s="558"/>
      <c r="E448" s="565" t="s">
        <v>807</v>
      </c>
      <c r="F448" s="548" t="s">
        <v>812</v>
      </c>
      <c r="G448" s="565" t="s">
        <v>809</v>
      </c>
      <c r="H448" s="571" t="s">
        <v>813</v>
      </c>
      <c r="I448" s="548" t="s">
        <v>40</v>
      </c>
      <c r="J448" s="548" t="s">
        <v>19</v>
      </c>
      <c r="K448" s="570">
        <v>9325</v>
      </c>
      <c r="L448" s="570">
        <v>37.85</v>
      </c>
      <c r="M448" s="552">
        <f t="shared" si="30"/>
        <v>246.3672391017173</v>
      </c>
      <c r="N448" s="562">
        <v>120</v>
      </c>
      <c r="O448" s="563">
        <f t="shared" si="31"/>
        <v>77.708333333333329</v>
      </c>
      <c r="P448" s="564">
        <f t="shared" ca="1" si="32"/>
        <v>173</v>
      </c>
      <c r="Q448" s="552">
        <f t="shared" ca="1" si="33"/>
        <v>-4118.5416666666661</v>
      </c>
      <c r="R448" s="563">
        <f t="shared" ca="1" si="34"/>
        <v>1</v>
      </c>
      <c r="S448" s="565" t="s">
        <v>811</v>
      </c>
    </row>
    <row r="449" spans="2:19" ht="47.1" customHeight="1" x14ac:dyDescent="0.25">
      <c r="B449" s="859">
        <v>40669</v>
      </c>
      <c r="C449" s="558" t="s">
        <v>2349</v>
      </c>
      <c r="D449" s="558"/>
      <c r="E449" s="565" t="s">
        <v>807</v>
      </c>
      <c r="F449" s="548" t="s">
        <v>814</v>
      </c>
      <c r="G449" s="565" t="s">
        <v>809</v>
      </c>
      <c r="H449" s="571" t="s">
        <v>815</v>
      </c>
      <c r="I449" s="548" t="s">
        <v>40</v>
      </c>
      <c r="J449" s="548" t="s">
        <v>19</v>
      </c>
      <c r="K449" s="570">
        <v>9325</v>
      </c>
      <c r="L449" s="570">
        <v>37.85</v>
      </c>
      <c r="M449" s="552">
        <f t="shared" si="30"/>
        <v>246.3672391017173</v>
      </c>
      <c r="N449" s="562">
        <v>120</v>
      </c>
      <c r="O449" s="563">
        <f t="shared" si="31"/>
        <v>77.708333333333329</v>
      </c>
      <c r="P449" s="564">
        <f t="shared" ca="1" si="32"/>
        <v>173</v>
      </c>
      <c r="Q449" s="552">
        <f t="shared" ca="1" si="33"/>
        <v>-4118.5416666666661</v>
      </c>
      <c r="R449" s="563">
        <f t="shared" ca="1" si="34"/>
        <v>1</v>
      </c>
      <c r="S449" s="565" t="s">
        <v>811</v>
      </c>
    </row>
    <row r="450" spans="2:19" ht="47.1" customHeight="1" x14ac:dyDescent="0.25">
      <c r="B450" s="859">
        <v>40669</v>
      </c>
      <c r="C450" s="558" t="s">
        <v>2349</v>
      </c>
      <c r="D450" s="558"/>
      <c r="E450" s="565" t="s">
        <v>807</v>
      </c>
      <c r="F450" s="548" t="s">
        <v>816</v>
      </c>
      <c r="G450" s="565" t="s">
        <v>809</v>
      </c>
      <c r="H450" s="571" t="s">
        <v>817</v>
      </c>
      <c r="I450" s="548" t="s">
        <v>40</v>
      </c>
      <c r="J450" s="548" t="s">
        <v>19</v>
      </c>
      <c r="K450" s="570">
        <v>9325</v>
      </c>
      <c r="L450" s="570">
        <v>37.85</v>
      </c>
      <c r="M450" s="552">
        <f t="shared" si="30"/>
        <v>246.3672391017173</v>
      </c>
      <c r="N450" s="562">
        <v>120</v>
      </c>
      <c r="O450" s="563">
        <f t="shared" si="31"/>
        <v>77.708333333333329</v>
      </c>
      <c r="P450" s="564">
        <f t="shared" ca="1" si="32"/>
        <v>173</v>
      </c>
      <c r="Q450" s="552">
        <f t="shared" ca="1" si="33"/>
        <v>-4118.5416666666661</v>
      </c>
      <c r="R450" s="563">
        <f t="shared" ca="1" si="34"/>
        <v>1</v>
      </c>
      <c r="S450" s="565" t="s">
        <v>811</v>
      </c>
    </row>
    <row r="451" spans="2:19" ht="47.1" customHeight="1" x14ac:dyDescent="0.25">
      <c r="B451" s="859">
        <v>40669</v>
      </c>
      <c r="C451" s="558" t="s">
        <v>2349</v>
      </c>
      <c r="D451" s="558"/>
      <c r="E451" s="565" t="s">
        <v>807</v>
      </c>
      <c r="F451" s="548" t="s">
        <v>818</v>
      </c>
      <c r="G451" s="565" t="s">
        <v>809</v>
      </c>
      <c r="H451" s="571" t="s">
        <v>819</v>
      </c>
      <c r="I451" s="548" t="s">
        <v>40</v>
      </c>
      <c r="J451" s="548" t="s">
        <v>19</v>
      </c>
      <c r="K451" s="570">
        <v>9325</v>
      </c>
      <c r="L451" s="570">
        <v>37.85</v>
      </c>
      <c r="M451" s="552">
        <f t="shared" si="30"/>
        <v>246.3672391017173</v>
      </c>
      <c r="N451" s="562">
        <v>120</v>
      </c>
      <c r="O451" s="563">
        <f t="shared" si="31"/>
        <v>77.708333333333329</v>
      </c>
      <c r="P451" s="564">
        <f t="shared" ca="1" si="32"/>
        <v>173</v>
      </c>
      <c r="Q451" s="552">
        <f t="shared" ca="1" si="33"/>
        <v>-4118.5416666666661</v>
      </c>
      <c r="R451" s="563">
        <f t="shared" ca="1" si="34"/>
        <v>1</v>
      </c>
      <c r="S451" s="565" t="s">
        <v>811</v>
      </c>
    </row>
    <row r="452" spans="2:19" ht="47.1" customHeight="1" x14ac:dyDescent="0.25">
      <c r="B452" s="859">
        <v>40669</v>
      </c>
      <c r="C452" s="558" t="s">
        <v>2349</v>
      </c>
      <c r="D452" s="558"/>
      <c r="E452" s="565" t="s">
        <v>807</v>
      </c>
      <c r="F452" s="548" t="s">
        <v>820</v>
      </c>
      <c r="G452" s="565" t="s">
        <v>809</v>
      </c>
      <c r="H452" s="571" t="s">
        <v>821</v>
      </c>
      <c r="I452" s="548" t="s">
        <v>40</v>
      </c>
      <c r="J452" s="548" t="s">
        <v>19</v>
      </c>
      <c r="K452" s="570">
        <v>9325</v>
      </c>
      <c r="L452" s="570">
        <v>37.85</v>
      </c>
      <c r="M452" s="552">
        <f t="shared" si="30"/>
        <v>246.3672391017173</v>
      </c>
      <c r="N452" s="562">
        <v>120</v>
      </c>
      <c r="O452" s="563">
        <f t="shared" si="31"/>
        <v>77.708333333333329</v>
      </c>
      <c r="P452" s="564">
        <f t="shared" ca="1" si="32"/>
        <v>173</v>
      </c>
      <c r="Q452" s="552">
        <f t="shared" ca="1" si="33"/>
        <v>-4118.5416666666661</v>
      </c>
      <c r="R452" s="563">
        <f t="shared" ca="1" si="34"/>
        <v>1</v>
      </c>
      <c r="S452" s="565" t="s">
        <v>811</v>
      </c>
    </row>
    <row r="453" spans="2:19" ht="71.25" customHeight="1" x14ac:dyDescent="0.25">
      <c r="B453" s="859">
        <v>40681</v>
      </c>
      <c r="C453" s="558" t="s">
        <v>2349</v>
      </c>
      <c r="D453" s="558"/>
      <c r="E453" s="565" t="s">
        <v>822</v>
      </c>
      <c r="F453" s="548" t="s">
        <v>691</v>
      </c>
      <c r="G453" s="565" t="s">
        <v>823</v>
      </c>
      <c r="H453" s="571" t="s">
        <v>693</v>
      </c>
      <c r="I453" s="548" t="s">
        <v>60</v>
      </c>
      <c r="J453" s="548" t="s">
        <v>19</v>
      </c>
      <c r="K453" s="570">
        <v>318815.53000000003</v>
      </c>
      <c r="L453" s="570">
        <v>37.89</v>
      </c>
      <c r="M453" s="552">
        <f t="shared" si="30"/>
        <v>8414.2393771443658</v>
      </c>
      <c r="N453" s="562">
        <v>60</v>
      </c>
      <c r="O453" s="563">
        <f t="shared" si="31"/>
        <v>5313.5921666666673</v>
      </c>
      <c r="P453" s="564">
        <f t="shared" ca="1" si="32"/>
        <v>172</v>
      </c>
      <c r="Q453" s="552">
        <f t="shared" ca="1" si="33"/>
        <v>-595122.3226666667</v>
      </c>
      <c r="R453" s="563">
        <f t="shared" ca="1" si="34"/>
        <v>1</v>
      </c>
      <c r="S453" s="565" t="s">
        <v>369</v>
      </c>
    </row>
    <row r="454" spans="2:19" ht="173.25" customHeight="1" x14ac:dyDescent="0.25">
      <c r="B454" s="859">
        <v>40696</v>
      </c>
      <c r="C454" s="558" t="s">
        <v>2349</v>
      </c>
      <c r="D454" s="558"/>
      <c r="E454" s="565" t="s">
        <v>824</v>
      </c>
      <c r="F454" s="548" t="s">
        <v>825</v>
      </c>
      <c r="G454" s="574" t="s">
        <v>4409</v>
      </c>
      <c r="H454" s="571" t="s">
        <v>826</v>
      </c>
      <c r="I454" s="548" t="s">
        <v>23</v>
      </c>
      <c r="J454" s="548" t="s">
        <v>737</v>
      </c>
      <c r="K454" s="570">
        <v>3250000</v>
      </c>
      <c r="L454" s="570">
        <v>38.01</v>
      </c>
      <c r="M454" s="552">
        <f t="shared" si="30"/>
        <v>85503.814785582741</v>
      </c>
      <c r="N454" s="562">
        <v>120</v>
      </c>
      <c r="O454" s="563">
        <f t="shared" si="31"/>
        <v>27083.333333333332</v>
      </c>
      <c r="P454" s="564">
        <f t="shared" ca="1" si="32"/>
        <v>172</v>
      </c>
      <c r="Q454" s="552">
        <f t="shared" ca="1" si="33"/>
        <v>-1408333.333333333</v>
      </c>
      <c r="R454" s="563">
        <f t="shared" ca="1" si="34"/>
        <v>1</v>
      </c>
      <c r="S454" s="565" t="s">
        <v>827</v>
      </c>
    </row>
    <row r="455" spans="2:19" ht="47.25" customHeight="1" x14ac:dyDescent="0.25">
      <c r="B455" s="859">
        <v>40799</v>
      </c>
      <c r="C455" s="558" t="s">
        <v>2349</v>
      </c>
      <c r="D455" s="558"/>
      <c r="E455" s="565" t="s">
        <v>828</v>
      </c>
      <c r="F455" s="548" t="s">
        <v>829</v>
      </c>
      <c r="G455" s="565" t="s">
        <v>830</v>
      </c>
      <c r="H455" s="548" t="s">
        <v>831</v>
      </c>
      <c r="I455" s="548" t="s">
        <v>832</v>
      </c>
      <c r="J455" s="548" t="s">
        <v>19</v>
      </c>
      <c r="K455" s="570">
        <v>11504.88</v>
      </c>
      <c r="L455" s="570">
        <v>38.15</v>
      </c>
      <c r="M455" s="552">
        <f t="shared" si="30"/>
        <v>301.56959370904326</v>
      </c>
      <c r="N455" s="562">
        <v>60</v>
      </c>
      <c r="O455" s="563">
        <f t="shared" si="31"/>
        <v>191.74799999999999</v>
      </c>
      <c r="P455" s="564">
        <f t="shared" ca="1" si="32"/>
        <v>168</v>
      </c>
      <c r="Q455" s="552">
        <f t="shared" ca="1" si="33"/>
        <v>-20708.784</v>
      </c>
      <c r="R455" s="563">
        <f t="shared" ca="1" si="34"/>
        <v>1</v>
      </c>
      <c r="S455" s="565" t="s">
        <v>369</v>
      </c>
    </row>
    <row r="456" spans="2:19" ht="39.950000000000003" customHeight="1" x14ac:dyDescent="0.25">
      <c r="B456" s="859">
        <v>40905</v>
      </c>
      <c r="C456" s="558" t="s">
        <v>2349</v>
      </c>
      <c r="D456" s="558"/>
      <c r="E456" s="565" t="s">
        <v>833</v>
      </c>
      <c r="F456" s="548" t="s">
        <v>834</v>
      </c>
      <c r="G456" s="565" t="s">
        <v>835</v>
      </c>
      <c r="H456" s="548" t="s">
        <v>836</v>
      </c>
      <c r="I456" s="575" t="s">
        <v>45</v>
      </c>
      <c r="J456" s="575" t="s">
        <v>837</v>
      </c>
      <c r="K456" s="570">
        <v>30994.92</v>
      </c>
      <c r="L456" s="570">
        <v>38.53</v>
      </c>
      <c r="M456" s="552">
        <f t="shared" ref="M456:M519" si="35">+K456/L456</f>
        <v>804.43602387749797</v>
      </c>
      <c r="N456" s="562">
        <v>120</v>
      </c>
      <c r="O456" s="563">
        <f t="shared" ref="O456:O519" si="36">IF(AND(K456&lt;&gt;0,N456&lt;&gt;0),K456/N456,0)</f>
        <v>258.291</v>
      </c>
      <c r="P456" s="564">
        <f t="shared" ref="P456:P519" ca="1" si="37">IF(B456&lt;&gt;0,(ROUND((NOW()-B456)/30,0)),0)</f>
        <v>165</v>
      </c>
      <c r="Q456" s="552">
        <f t="shared" ref="Q456:Q519" ca="1" si="38">IF(OR(K456=0,N456=0,P456=0),0,K456-(O456*P456))</f>
        <v>-11623.095000000001</v>
      </c>
      <c r="R456" s="563">
        <f t="shared" ref="R456:R519" ca="1" si="39">IF(Q456&lt;1,1,Q456)</f>
        <v>1</v>
      </c>
      <c r="S456" s="565" t="s">
        <v>838</v>
      </c>
    </row>
    <row r="457" spans="2:19" ht="39.950000000000003" customHeight="1" x14ac:dyDescent="0.25">
      <c r="B457" s="859">
        <v>41024</v>
      </c>
      <c r="C457" s="558" t="s">
        <v>2349</v>
      </c>
      <c r="D457" s="558"/>
      <c r="E457" s="565" t="s">
        <v>839</v>
      </c>
      <c r="F457" s="548" t="s">
        <v>840</v>
      </c>
      <c r="G457" s="565" t="s">
        <v>841</v>
      </c>
      <c r="H457" s="571" t="s">
        <v>842</v>
      </c>
      <c r="I457" s="548" t="s">
        <v>843</v>
      </c>
      <c r="J457" s="548" t="s">
        <v>19</v>
      </c>
      <c r="K457" s="560">
        <v>12500</v>
      </c>
      <c r="L457" s="561">
        <v>39.03</v>
      </c>
      <c r="M457" s="552">
        <f t="shared" si="35"/>
        <v>320.26646169613116</v>
      </c>
      <c r="N457" s="562">
        <v>60</v>
      </c>
      <c r="O457" s="563">
        <f t="shared" si="36"/>
        <v>208.33333333333334</v>
      </c>
      <c r="P457" s="564">
        <f t="shared" ca="1" si="37"/>
        <v>161</v>
      </c>
      <c r="Q457" s="552">
        <f t="shared" ca="1" si="38"/>
        <v>-21041.666666666672</v>
      </c>
      <c r="R457" s="563">
        <f t="shared" ca="1" si="39"/>
        <v>1</v>
      </c>
      <c r="S457" s="565" t="s">
        <v>844</v>
      </c>
    </row>
    <row r="458" spans="2:19" ht="53.25" customHeight="1" x14ac:dyDescent="0.25">
      <c r="B458" s="859">
        <v>41033</v>
      </c>
      <c r="C458" s="558" t="s">
        <v>2349</v>
      </c>
      <c r="D458" s="558"/>
      <c r="E458" s="565" t="s">
        <v>854</v>
      </c>
      <c r="F458" s="548" t="s">
        <v>855</v>
      </c>
      <c r="G458" s="565" t="s">
        <v>856</v>
      </c>
      <c r="H458" s="571" t="s">
        <v>857</v>
      </c>
      <c r="I458" s="548" t="s">
        <v>23</v>
      </c>
      <c r="J458" s="548" t="s">
        <v>24</v>
      </c>
      <c r="K458" s="560">
        <v>2635</v>
      </c>
      <c r="L458" s="561">
        <v>39.03</v>
      </c>
      <c r="M458" s="552">
        <f t="shared" si="35"/>
        <v>67.512170125544458</v>
      </c>
      <c r="N458" s="562">
        <v>60</v>
      </c>
      <c r="O458" s="563">
        <f t="shared" si="36"/>
        <v>43.916666666666664</v>
      </c>
      <c r="P458" s="564">
        <f t="shared" ca="1" si="37"/>
        <v>161</v>
      </c>
      <c r="Q458" s="552">
        <f t="shared" ca="1" si="38"/>
        <v>-4435.583333333333</v>
      </c>
      <c r="R458" s="563">
        <f t="shared" ca="1" si="39"/>
        <v>1</v>
      </c>
      <c r="S458" s="565" t="s">
        <v>858</v>
      </c>
    </row>
    <row r="459" spans="2:19" ht="39.950000000000003" customHeight="1" x14ac:dyDescent="0.25">
      <c r="B459" s="859">
        <v>41033</v>
      </c>
      <c r="C459" s="558" t="s">
        <v>2349</v>
      </c>
      <c r="D459" s="558"/>
      <c r="E459" s="565" t="s">
        <v>854</v>
      </c>
      <c r="F459" s="548" t="s">
        <v>859</v>
      </c>
      <c r="G459" s="565" t="s">
        <v>856</v>
      </c>
      <c r="H459" s="571" t="s">
        <v>857</v>
      </c>
      <c r="I459" s="548" t="s">
        <v>23</v>
      </c>
      <c r="J459" s="548" t="s">
        <v>24</v>
      </c>
      <c r="K459" s="560">
        <v>2635</v>
      </c>
      <c r="L459" s="561">
        <v>39.03</v>
      </c>
      <c r="M459" s="552">
        <f t="shared" si="35"/>
        <v>67.512170125544458</v>
      </c>
      <c r="N459" s="562">
        <v>60</v>
      </c>
      <c r="O459" s="563">
        <f t="shared" si="36"/>
        <v>43.916666666666664</v>
      </c>
      <c r="P459" s="564">
        <f t="shared" ca="1" si="37"/>
        <v>161</v>
      </c>
      <c r="Q459" s="552">
        <f t="shared" ca="1" si="38"/>
        <v>-4435.583333333333</v>
      </c>
      <c r="R459" s="563">
        <f t="shared" ca="1" si="39"/>
        <v>1</v>
      </c>
      <c r="S459" s="565" t="s">
        <v>858</v>
      </c>
    </row>
    <row r="460" spans="2:19" ht="39.950000000000003" customHeight="1" x14ac:dyDescent="0.25">
      <c r="B460" s="859">
        <v>41033</v>
      </c>
      <c r="C460" s="558" t="s">
        <v>2349</v>
      </c>
      <c r="D460" s="558"/>
      <c r="E460" s="565" t="s">
        <v>845</v>
      </c>
      <c r="F460" s="548" t="s">
        <v>846</v>
      </c>
      <c r="G460" s="565" t="s">
        <v>847</v>
      </c>
      <c r="H460" s="571" t="s">
        <v>848</v>
      </c>
      <c r="I460" s="548" t="s">
        <v>764</v>
      </c>
      <c r="J460" s="548" t="s">
        <v>19</v>
      </c>
      <c r="K460" s="560">
        <v>7034</v>
      </c>
      <c r="L460" s="561">
        <v>39.03</v>
      </c>
      <c r="M460" s="552">
        <f t="shared" si="35"/>
        <v>180.22034332564692</v>
      </c>
      <c r="N460" s="562">
        <v>60</v>
      </c>
      <c r="O460" s="563">
        <f t="shared" si="36"/>
        <v>117.23333333333333</v>
      </c>
      <c r="P460" s="564">
        <f t="shared" ca="1" si="37"/>
        <v>161</v>
      </c>
      <c r="Q460" s="552">
        <f t="shared" ca="1" si="38"/>
        <v>-11840.566666666666</v>
      </c>
      <c r="R460" s="563">
        <f t="shared" ca="1" si="39"/>
        <v>1</v>
      </c>
      <c r="S460" s="565" t="s">
        <v>849</v>
      </c>
    </row>
    <row r="461" spans="2:19" ht="39.950000000000003" customHeight="1" x14ac:dyDescent="0.25">
      <c r="B461" s="859">
        <v>41033</v>
      </c>
      <c r="C461" s="558" t="s">
        <v>2349</v>
      </c>
      <c r="D461" s="558"/>
      <c r="E461" s="565" t="s">
        <v>845</v>
      </c>
      <c r="F461" s="548" t="s">
        <v>850</v>
      </c>
      <c r="G461" s="565" t="s">
        <v>847</v>
      </c>
      <c r="H461" s="571" t="s">
        <v>848</v>
      </c>
      <c r="I461" s="548" t="s">
        <v>764</v>
      </c>
      <c r="J461" s="548" t="s">
        <v>19</v>
      </c>
      <c r="K461" s="560">
        <v>7034</v>
      </c>
      <c r="L461" s="561">
        <v>39.03</v>
      </c>
      <c r="M461" s="552">
        <f t="shared" si="35"/>
        <v>180.22034332564692</v>
      </c>
      <c r="N461" s="562">
        <v>60</v>
      </c>
      <c r="O461" s="563">
        <f t="shared" si="36"/>
        <v>117.23333333333333</v>
      </c>
      <c r="P461" s="564">
        <f t="shared" ca="1" si="37"/>
        <v>161</v>
      </c>
      <c r="Q461" s="552">
        <f t="shared" ca="1" si="38"/>
        <v>-11840.566666666666</v>
      </c>
      <c r="R461" s="563">
        <f t="shared" ca="1" si="39"/>
        <v>1</v>
      </c>
      <c r="S461" s="565" t="s">
        <v>849</v>
      </c>
    </row>
    <row r="462" spans="2:19" ht="56.25" customHeight="1" x14ac:dyDescent="0.25">
      <c r="B462" s="859">
        <v>41033</v>
      </c>
      <c r="C462" s="558" t="s">
        <v>2349</v>
      </c>
      <c r="D462" s="558"/>
      <c r="E462" s="565" t="s">
        <v>845</v>
      </c>
      <c r="F462" s="548" t="s">
        <v>851</v>
      </c>
      <c r="G462" s="565" t="s">
        <v>847</v>
      </c>
      <c r="H462" s="571" t="s">
        <v>848</v>
      </c>
      <c r="I462" s="548" t="s">
        <v>764</v>
      </c>
      <c r="J462" s="548" t="s">
        <v>19</v>
      </c>
      <c r="K462" s="560">
        <v>7034</v>
      </c>
      <c r="L462" s="561">
        <v>39.03</v>
      </c>
      <c r="M462" s="552">
        <f t="shared" si="35"/>
        <v>180.22034332564692</v>
      </c>
      <c r="N462" s="562">
        <v>60</v>
      </c>
      <c r="O462" s="563">
        <f t="shared" si="36"/>
        <v>117.23333333333333</v>
      </c>
      <c r="P462" s="564">
        <f t="shared" ca="1" si="37"/>
        <v>161</v>
      </c>
      <c r="Q462" s="552">
        <f t="shared" ca="1" si="38"/>
        <v>-11840.566666666666</v>
      </c>
      <c r="R462" s="563">
        <f t="shared" ca="1" si="39"/>
        <v>1</v>
      </c>
      <c r="S462" s="565" t="s">
        <v>849</v>
      </c>
    </row>
    <row r="463" spans="2:19" ht="39.950000000000003" customHeight="1" x14ac:dyDescent="0.25">
      <c r="B463" s="859">
        <v>41033</v>
      </c>
      <c r="C463" s="558" t="s">
        <v>2349</v>
      </c>
      <c r="D463" s="558"/>
      <c r="E463" s="565" t="s">
        <v>845</v>
      </c>
      <c r="F463" s="548" t="s">
        <v>852</v>
      </c>
      <c r="G463" s="565" t="s">
        <v>847</v>
      </c>
      <c r="H463" s="571" t="s">
        <v>848</v>
      </c>
      <c r="I463" s="548" t="s">
        <v>764</v>
      </c>
      <c r="J463" s="548" t="s">
        <v>19</v>
      </c>
      <c r="K463" s="560">
        <v>7034</v>
      </c>
      <c r="L463" s="561">
        <v>39.03</v>
      </c>
      <c r="M463" s="552">
        <f t="shared" si="35"/>
        <v>180.22034332564692</v>
      </c>
      <c r="N463" s="562">
        <v>60</v>
      </c>
      <c r="O463" s="563">
        <f t="shared" si="36"/>
        <v>117.23333333333333</v>
      </c>
      <c r="P463" s="564">
        <f t="shared" ca="1" si="37"/>
        <v>161</v>
      </c>
      <c r="Q463" s="552">
        <f t="shared" ca="1" si="38"/>
        <v>-11840.566666666666</v>
      </c>
      <c r="R463" s="563">
        <f t="shared" ca="1" si="39"/>
        <v>1</v>
      </c>
      <c r="S463" s="565" t="s">
        <v>849</v>
      </c>
    </row>
    <row r="464" spans="2:19" ht="71.25" customHeight="1" x14ac:dyDescent="0.25">
      <c r="B464" s="859">
        <v>41033</v>
      </c>
      <c r="C464" s="558" t="s">
        <v>2349</v>
      </c>
      <c r="D464" s="558"/>
      <c r="E464" s="565" t="s">
        <v>845</v>
      </c>
      <c r="F464" s="548" t="s">
        <v>853</v>
      </c>
      <c r="G464" s="565" t="s">
        <v>847</v>
      </c>
      <c r="H464" s="571" t="s">
        <v>848</v>
      </c>
      <c r="I464" s="548" t="s">
        <v>21</v>
      </c>
      <c r="J464" s="548" t="s">
        <v>19</v>
      </c>
      <c r="K464" s="560">
        <v>7034</v>
      </c>
      <c r="L464" s="561">
        <v>39.03</v>
      </c>
      <c r="M464" s="552">
        <f t="shared" si="35"/>
        <v>180.22034332564692</v>
      </c>
      <c r="N464" s="562">
        <v>60</v>
      </c>
      <c r="O464" s="563">
        <f t="shared" si="36"/>
        <v>117.23333333333333</v>
      </c>
      <c r="P464" s="564">
        <f t="shared" ca="1" si="37"/>
        <v>161</v>
      </c>
      <c r="Q464" s="552">
        <f t="shared" ca="1" si="38"/>
        <v>-11840.566666666666</v>
      </c>
      <c r="R464" s="563">
        <f t="shared" ca="1" si="39"/>
        <v>1</v>
      </c>
      <c r="S464" s="565" t="s">
        <v>849</v>
      </c>
    </row>
    <row r="465" spans="2:19" ht="39.950000000000003" customHeight="1" x14ac:dyDescent="0.25">
      <c r="B465" s="859">
        <v>41059</v>
      </c>
      <c r="C465" s="558" t="s">
        <v>2349</v>
      </c>
      <c r="D465" s="558"/>
      <c r="E465" s="548" t="s">
        <v>860</v>
      </c>
      <c r="F465" s="548" t="s">
        <v>861</v>
      </c>
      <c r="G465" s="565" t="s">
        <v>862</v>
      </c>
      <c r="H465" s="571" t="s">
        <v>863</v>
      </c>
      <c r="I465" s="548" t="s">
        <v>864</v>
      </c>
      <c r="J465" s="548" t="s">
        <v>19</v>
      </c>
      <c r="K465" s="560">
        <v>54107.76</v>
      </c>
      <c r="L465" s="561">
        <v>39.020000000000003</v>
      </c>
      <c r="M465" s="552">
        <f t="shared" si="35"/>
        <v>1386.6673500768836</v>
      </c>
      <c r="N465" s="562">
        <v>60</v>
      </c>
      <c r="O465" s="563">
        <f t="shared" si="36"/>
        <v>901.79600000000005</v>
      </c>
      <c r="P465" s="564">
        <f t="shared" ca="1" si="37"/>
        <v>160</v>
      </c>
      <c r="Q465" s="552">
        <f t="shared" ca="1" si="38"/>
        <v>-90179.6</v>
      </c>
      <c r="R465" s="563">
        <f t="shared" ca="1" si="39"/>
        <v>1</v>
      </c>
      <c r="S465" s="565" t="s">
        <v>865</v>
      </c>
    </row>
    <row r="466" spans="2:19" ht="45" customHeight="1" x14ac:dyDescent="0.25">
      <c r="B466" s="859">
        <v>41059</v>
      </c>
      <c r="C466" s="558" t="s">
        <v>2349</v>
      </c>
      <c r="D466" s="558"/>
      <c r="E466" s="548" t="s">
        <v>866</v>
      </c>
      <c r="F466" s="548" t="s">
        <v>866</v>
      </c>
      <c r="G466" s="565" t="s">
        <v>862</v>
      </c>
      <c r="H466" s="571" t="s">
        <v>867</v>
      </c>
      <c r="I466" s="548" t="s">
        <v>868</v>
      </c>
      <c r="J466" s="548" t="s">
        <v>19</v>
      </c>
      <c r="K466" s="560">
        <v>54107.76</v>
      </c>
      <c r="L466" s="561">
        <v>39.020000000000003</v>
      </c>
      <c r="M466" s="552">
        <f t="shared" si="35"/>
        <v>1386.6673500768836</v>
      </c>
      <c r="N466" s="562">
        <v>60</v>
      </c>
      <c r="O466" s="563">
        <f t="shared" si="36"/>
        <v>901.79600000000005</v>
      </c>
      <c r="P466" s="564">
        <f t="shared" ca="1" si="37"/>
        <v>160</v>
      </c>
      <c r="Q466" s="552">
        <f t="shared" ca="1" si="38"/>
        <v>-90179.6</v>
      </c>
      <c r="R466" s="563">
        <f t="shared" ca="1" si="39"/>
        <v>1</v>
      </c>
      <c r="S466" s="565" t="s">
        <v>865</v>
      </c>
    </row>
    <row r="467" spans="2:19" ht="39.950000000000003" customHeight="1" x14ac:dyDescent="0.25">
      <c r="B467" s="859">
        <v>41059</v>
      </c>
      <c r="C467" s="558" t="s">
        <v>2349</v>
      </c>
      <c r="D467" s="558"/>
      <c r="E467" s="565" t="s">
        <v>869</v>
      </c>
      <c r="F467" s="548" t="s">
        <v>870</v>
      </c>
      <c r="G467" s="565" t="s">
        <v>862</v>
      </c>
      <c r="H467" s="571" t="s">
        <v>871</v>
      </c>
      <c r="I467" s="548" t="s">
        <v>60</v>
      </c>
      <c r="J467" s="548" t="s">
        <v>19</v>
      </c>
      <c r="K467" s="560">
        <v>54107.76</v>
      </c>
      <c r="L467" s="561">
        <v>39.020000000000003</v>
      </c>
      <c r="M467" s="552">
        <f t="shared" si="35"/>
        <v>1386.6673500768836</v>
      </c>
      <c r="N467" s="562">
        <v>60</v>
      </c>
      <c r="O467" s="563">
        <f t="shared" si="36"/>
        <v>901.79600000000005</v>
      </c>
      <c r="P467" s="564">
        <f t="shared" ca="1" si="37"/>
        <v>160</v>
      </c>
      <c r="Q467" s="552">
        <f t="shared" ca="1" si="38"/>
        <v>-90179.6</v>
      </c>
      <c r="R467" s="563">
        <f t="shared" ca="1" si="39"/>
        <v>1</v>
      </c>
      <c r="S467" s="565" t="s">
        <v>865</v>
      </c>
    </row>
    <row r="468" spans="2:19" ht="39.950000000000003" customHeight="1" x14ac:dyDescent="0.25">
      <c r="B468" s="859">
        <v>41059</v>
      </c>
      <c r="C468" s="558" t="s">
        <v>2349</v>
      </c>
      <c r="D468" s="558"/>
      <c r="E468" s="565" t="s">
        <v>869</v>
      </c>
      <c r="F468" s="548" t="s">
        <v>872</v>
      </c>
      <c r="G468" s="565" t="s">
        <v>862</v>
      </c>
      <c r="H468" s="571" t="s">
        <v>873</v>
      </c>
      <c r="I468" s="548" t="s">
        <v>60</v>
      </c>
      <c r="J468" s="548" t="s">
        <v>19</v>
      </c>
      <c r="K468" s="560">
        <v>54107.76</v>
      </c>
      <c r="L468" s="561">
        <v>39.020000000000003</v>
      </c>
      <c r="M468" s="552">
        <f t="shared" si="35"/>
        <v>1386.6673500768836</v>
      </c>
      <c r="N468" s="562">
        <v>60</v>
      </c>
      <c r="O468" s="563">
        <f t="shared" si="36"/>
        <v>901.79600000000005</v>
      </c>
      <c r="P468" s="564">
        <f t="shared" ca="1" si="37"/>
        <v>160</v>
      </c>
      <c r="Q468" s="552">
        <f t="shared" ca="1" si="38"/>
        <v>-90179.6</v>
      </c>
      <c r="R468" s="563">
        <f t="shared" ca="1" si="39"/>
        <v>1</v>
      </c>
      <c r="S468" s="565" t="s">
        <v>865</v>
      </c>
    </row>
    <row r="469" spans="2:19" ht="39.950000000000003" customHeight="1" x14ac:dyDescent="0.25">
      <c r="B469" s="859">
        <v>41059</v>
      </c>
      <c r="C469" s="558" t="s">
        <v>2349</v>
      </c>
      <c r="D469" s="558"/>
      <c r="E469" s="565" t="s">
        <v>869</v>
      </c>
      <c r="F469" s="548" t="s">
        <v>874</v>
      </c>
      <c r="G469" s="565" t="s">
        <v>862</v>
      </c>
      <c r="H469" s="571" t="s">
        <v>875</v>
      </c>
      <c r="I469" s="548" t="s">
        <v>60</v>
      </c>
      <c r="J469" s="548" t="s">
        <v>19</v>
      </c>
      <c r="K469" s="560">
        <v>54107.76</v>
      </c>
      <c r="L469" s="561">
        <v>39.020000000000003</v>
      </c>
      <c r="M469" s="552">
        <f t="shared" si="35"/>
        <v>1386.6673500768836</v>
      </c>
      <c r="N469" s="562">
        <v>60</v>
      </c>
      <c r="O469" s="563">
        <f t="shared" si="36"/>
        <v>901.79600000000005</v>
      </c>
      <c r="P469" s="564">
        <f t="shared" ca="1" si="37"/>
        <v>160</v>
      </c>
      <c r="Q469" s="552">
        <f t="shared" ca="1" si="38"/>
        <v>-90179.6</v>
      </c>
      <c r="R469" s="563">
        <f t="shared" ca="1" si="39"/>
        <v>1</v>
      </c>
      <c r="S469" s="565" t="s">
        <v>865</v>
      </c>
    </row>
    <row r="470" spans="2:19" ht="65.25" customHeight="1" x14ac:dyDescent="0.25">
      <c r="B470" s="859">
        <v>41059</v>
      </c>
      <c r="C470" s="558" t="s">
        <v>2349</v>
      </c>
      <c r="D470" s="558"/>
      <c r="E470" s="565" t="s">
        <v>869</v>
      </c>
      <c r="F470" s="548" t="s">
        <v>876</v>
      </c>
      <c r="G470" s="565" t="s">
        <v>862</v>
      </c>
      <c r="H470" s="571" t="s">
        <v>877</v>
      </c>
      <c r="I470" s="548" t="s">
        <v>60</v>
      </c>
      <c r="J470" s="548" t="s">
        <v>19</v>
      </c>
      <c r="K470" s="560">
        <v>54107.76</v>
      </c>
      <c r="L470" s="561">
        <v>39.020000000000003</v>
      </c>
      <c r="M470" s="552">
        <f t="shared" si="35"/>
        <v>1386.6673500768836</v>
      </c>
      <c r="N470" s="562">
        <v>60</v>
      </c>
      <c r="O470" s="563">
        <f t="shared" si="36"/>
        <v>901.79600000000005</v>
      </c>
      <c r="P470" s="564">
        <f t="shared" ca="1" si="37"/>
        <v>160</v>
      </c>
      <c r="Q470" s="552">
        <f t="shared" ca="1" si="38"/>
        <v>-90179.6</v>
      </c>
      <c r="R470" s="563">
        <f t="shared" ca="1" si="39"/>
        <v>1</v>
      </c>
      <c r="S470" s="565" t="s">
        <v>865</v>
      </c>
    </row>
    <row r="471" spans="2:19" ht="57.75" customHeight="1" x14ac:dyDescent="0.25">
      <c r="B471" s="859">
        <v>41059</v>
      </c>
      <c r="C471" s="558" t="s">
        <v>2349</v>
      </c>
      <c r="D471" s="558"/>
      <c r="E471" s="548" t="s">
        <v>878</v>
      </c>
      <c r="F471" s="548" t="s">
        <v>878</v>
      </c>
      <c r="G471" s="565" t="s">
        <v>862</v>
      </c>
      <c r="H471" s="571" t="s">
        <v>879</v>
      </c>
      <c r="I471" s="548" t="s">
        <v>60</v>
      </c>
      <c r="J471" s="548" t="s">
        <v>19</v>
      </c>
      <c r="K471" s="560">
        <v>54107.76</v>
      </c>
      <c r="L471" s="561">
        <v>39.020000000000003</v>
      </c>
      <c r="M471" s="552">
        <f t="shared" si="35"/>
        <v>1386.6673500768836</v>
      </c>
      <c r="N471" s="562">
        <v>60</v>
      </c>
      <c r="O471" s="563">
        <f t="shared" si="36"/>
        <v>901.79600000000005</v>
      </c>
      <c r="P471" s="564">
        <f t="shared" ca="1" si="37"/>
        <v>160</v>
      </c>
      <c r="Q471" s="552">
        <f t="shared" ca="1" si="38"/>
        <v>-90179.6</v>
      </c>
      <c r="R471" s="563">
        <f t="shared" ca="1" si="39"/>
        <v>1</v>
      </c>
      <c r="S471" s="565" t="s">
        <v>865</v>
      </c>
    </row>
    <row r="472" spans="2:19" ht="57.75" customHeight="1" x14ac:dyDescent="0.25">
      <c r="B472" s="859">
        <v>41059</v>
      </c>
      <c r="C472" s="558" t="s">
        <v>2349</v>
      </c>
      <c r="D472" s="558"/>
      <c r="E472" s="548" t="s">
        <v>880</v>
      </c>
      <c r="F472" s="548" t="s">
        <v>880</v>
      </c>
      <c r="G472" s="565" t="s">
        <v>862</v>
      </c>
      <c r="H472" s="571" t="s">
        <v>881</v>
      </c>
      <c r="I472" s="548" t="s">
        <v>23</v>
      </c>
      <c r="J472" s="548" t="s">
        <v>676</v>
      </c>
      <c r="K472" s="560">
        <v>54107.76</v>
      </c>
      <c r="L472" s="561">
        <v>39.020000000000003</v>
      </c>
      <c r="M472" s="552">
        <f t="shared" si="35"/>
        <v>1386.6673500768836</v>
      </c>
      <c r="N472" s="562">
        <v>60</v>
      </c>
      <c r="O472" s="563">
        <f t="shared" si="36"/>
        <v>901.79600000000005</v>
      </c>
      <c r="P472" s="564">
        <f t="shared" ca="1" si="37"/>
        <v>160</v>
      </c>
      <c r="Q472" s="552">
        <f t="shared" ca="1" si="38"/>
        <v>-90179.6</v>
      </c>
      <c r="R472" s="563">
        <f t="shared" ca="1" si="39"/>
        <v>1</v>
      </c>
      <c r="S472" s="565" t="s">
        <v>865</v>
      </c>
    </row>
    <row r="473" spans="2:19" ht="66.75" customHeight="1" x14ac:dyDescent="0.25">
      <c r="B473" s="859">
        <v>41060</v>
      </c>
      <c r="C473" s="558" t="s">
        <v>2349</v>
      </c>
      <c r="D473" s="558"/>
      <c r="E473" s="565" t="s">
        <v>882</v>
      </c>
      <c r="F473" s="548" t="s">
        <v>883</v>
      </c>
      <c r="G473" s="565" t="s">
        <v>809</v>
      </c>
      <c r="H473" s="571" t="s">
        <v>884</v>
      </c>
      <c r="I473" s="548" t="s">
        <v>885</v>
      </c>
      <c r="J473" s="548" t="s">
        <v>19</v>
      </c>
      <c r="K473" s="570">
        <v>8797.5</v>
      </c>
      <c r="L473" s="561">
        <v>39.020000000000003</v>
      </c>
      <c r="M473" s="552">
        <f t="shared" si="35"/>
        <v>225.46130189646334</v>
      </c>
      <c r="N473" s="562">
        <v>120</v>
      </c>
      <c r="O473" s="563">
        <f t="shared" si="36"/>
        <v>73.3125</v>
      </c>
      <c r="P473" s="564">
        <f t="shared" ca="1" si="37"/>
        <v>160</v>
      </c>
      <c r="Q473" s="552">
        <f t="shared" ca="1" si="38"/>
        <v>-2932.5</v>
      </c>
      <c r="R473" s="563">
        <f t="shared" ca="1" si="39"/>
        <v>1</v>
      </c>
      <c r="S473" s="565" t="s">
        <v>811</v>
      </c>
    </row>
    <row r="474" spans="2:19" ht="39.950000000000003" customHeight="1" x14ac:dyDescent="0.25">
      <c r="B474" s="859">
        <v>41060</v>
      </c>
      <c r="C474" s="558" t="s">
        <v>2349</v>
      </c>
      <c r="D474" s="558"/>
      <c r="E474" s="565" t="s">
        <v>882</v>
      </c>
      <c r="F474" s="548" t="s">
        <v>886</v>
      </c>
      <c r="G474" s="565" t="s">
        <v>809</v>
      </c>
      <c r="H474" s="571" t="s">
        <v>887</v>
      </c>
      <c r="I474" s="548" t="s">
        <v>885</v>
      </c>
      <c r="J474" s="548" t="s">
        <v>19</v>
      </c>
      <c r="K474" s="570">
        <v>8797.5</v>
      </c>
      <c r="L474" s="561">
        <v>39.020000000000003</v>
      </c>
      <c r="M474" s="552">
        <f t="shared" si="35"/>
        <v>225.46130189646334</v>
      </c>
      <c r="N474" s="562">
        <v>120</v>
      </c>
      <c r="O474" s="563">
        <f t="shared" si="36"/>
        <v>73.3125</v>
      </c>
      <c r="P474" s="564">
        <f t="shared" ca="1" si="37"/>
        <v>160</v>
      </c>
      <c r="Q474" s="552">
        <f t="shared" ca="1" si="38"/>
        <v>-2932.5</v>
      </c>
      <c r="R474" s="563">
        <f t="shared" ca="1" si="39"/>
        <v>1</v>
      </c>
      <c r="S474" s="565" t="s">
        <v>811</v>
      </c>
    </row>
    <row r="475" spans="2:19" ht="39.950000000000003" customHeight="1" x14ac:dyDescent="0.25">
      <c r="B475" s="859">
        <v>41060</v>
      </c>
      <c r="C475" s="558" t="s">
        <v>2349</v>
      </c>
      <c r="D475" s="558"/>
      <c r="E475" s="565" t="s">
        <v>882</v>
      </c>
      <c r="F475" s="548" t="s">
        <v>888</v>
      </c>
      <c r="G475" s="565" t="s">
        <v>809</v>
      </c>
      <c r="H475" s="571" t="s">
        <v>889</v>
      </c>
      <c r="I475" s="548" t="s">
        <v>885</v>
      </c>
      <c r="J475" s="548" t="s">
        <v>19</v>
      </c>
      <c r="K475" s="570">
        <v>8797.5</v>
      </c>
      <c r="L475" s="561">
        <v>39.020000000000003</v>
      </c>
      <c r="M475" s="552">
        <f t="shared" si="35"/>
        <v>225.46130189646334</v>
      </c>
      <c r="N475" s="562">
        <v>120</v>
      </c>
      <c r="O475" s="563">
        <f t="shared" si="36"/>
        <v>73.3125</v>
      </c>
      <c r="P475" s="564">
        <f t="shared" ca="1" si="37"/>
        <v>160</v>
      </c>
      <c r="Q475" s="552">
        <f t="shared" ca="1" si="38"/>
        <v>-2932.5</v>
      </c>
      <c r="R475" s="563">
        <f t="shared" ca="1" si="39"/>
        <v>1</v>
      </c>
      <c r="S475" s="565" t="s">
        <v>811</v>
      </c>
    </row>
    <row r="476" spans="2:19" ht="39.950000000000003" customHeight="1" x14ac:dyDescent="0.25">
      <c r="B476" s="859">
        <v>41060</v>
      </c>
      <c r="C476" s="558" t="s">
        <v>2349</v>
      </c>
      <c r="D476" s="558"/>
      <c r="E476" s="565" t="s">
        <v>882</v>
      </c>
      <c r="F476" s="548" t="s">
        <v>890</v>
      </c>
      <c r="G476" s="565" t="s">
        <v>809</v>
      </c>
      <c r="H476" s="571" t="s">
        <v>891</v>
      </c>
      <c r="I476" s="548" t="s">
        <v>885</v>
      </c>
      <c r="J476" s="548" t="s">
        <v>19</v>
      </c>
      <c r="K476" s="570">
        <v>8797.5</v>
      </c>
      <c r="L476" s="561">
        <v>39.020000000000003</v>
      </c>
      <c r="M476" s="552">
        <f t="shared" si="35"/>
        <v>225.46130189646334</v>
      </c>
      <c r="N476" s="562">
        <v>120</v>
      </c>
      <c r="O476" s="563">
        <f t="shared" si="36"/>
        <v>73.3125</v>
      </c>
      <c r="P476" s="564">
        <f t="shared" ca="1" si="37"/>
        <v>160</v>
      </c>
      <c r="Q476" s="552">
        <f t="shared" ca="1" si="38"/>
        <v>-2932.5</v>
      </c>
      <c r="R476" s="563">
        <f t="shared" ca="1" si="39"/>
        <v>1</v>
      </c>
      <c r="S476" s="565" t="s">
        <v>811</v>
      </c>
    </row>
    <row r="477" spans="2:19" ht="39.950000000000003" customHeight="1" x14ac:dyDescent="0.25">
      <c r="B477" s="859">
        <v>41122</v>
      </c>
      <c r="C477" s="558" t="s">
        <v>2349</v>
      </c>
      <c r="D477" s="558"/>
      <c r="E477" s="565" t="s">
        <v>892</v>
      </c>
      <c r="F477" s="548" t="s">
        <v>893</v>
      </c>
      <c r="G477" s="559" t="s">
        <v>894</v>
      </c>
      <c r="H477" s="548" t="s">
        <v>28</v>
      </c>
      <c r="I477" s="548" t="s">
        <v>885</v>
      </c>
      <c r="J477" s="548" t="s">
        <v>19</v>
      </c>
      <c r="K477" s="560">
        <v>3961.21</v>
      </c>
      <c r="L477" s="561">
        <v>39.1</v>
      </c>
      <c r="M477" s="552">
        <f t="shared" si="35"/>
        <v>101.30971867007672</v>
      </c>
      <c r="N477" s="562">
        <v>60</v>
      </c>
      <c r="O477" s="563">
        <f t="shared" si="36"/>
        <v>66.020166666666668</v>
      </c>
      <c r="P477" s="564">
        <f t="shared" ca="1" si="37"/>
        <v>158</v>
      </c>
      <c r="Q477" s="552">
        <f t="shared" ca="1" si="38"/>
        <v>-6469.9763333333331</v>
      </c>
      <c r="R477" s="563">
        <f t="shared" ca="1" si="39"/>
        <v>1</v>
      </c>
      <c r="S477" s="565" t="s">
        <v>895</v>
      </c>
    </row>
    <row r="478" spans="2:19" ht="39.950000000000003" customHeight="1" x14ac:dyDescent="0.25">
      <c r="B478" s="859">
        <v>41319</v>
      </c>
      <c r="C478" s="558" t="s">
        <v>2349</v>
      </c>
      <c r="D478" s="558"/>
      <c r="E478" s="565" t="s">
        <v>896</v>
      </c>
      <c r="F478" s="548" t="s">
        <v>897</v>
      </c>
      <c r="G478" s="559" t="s">
        <v>898</v>
      </c>
      <c r="H478" s="548" t="s">
        <v>899</v>
      </c>
      <c r="I478" s="548" t="s">
        <v>23</v>
      </c>
      <c r="J478" s="548" t="s">
        <v>737</v>
      </c>
      <c r="K478" s="576">
        <v>34000</v>
      </c>
      <c r="L478" s="576">
        <v>40.799999999999997</v>
      </c>
      <c r="M478" s="552">
        <f t="shared" si="35"/>
        <v>833.33333333333337</v>
      </c>
      <c r="N478" s="577">
        <v>120</v>
      </c>
      <c r="O478" s="563">
        <f t="shared" si="36"/>
        <v>283.33333333333331</v>
      </c>
      <c r="P478" s="564">
        <f t="shared" ca="1" si="37"/>
        <v>151</v>
      </c>
      <c r="Q478" s="552">
        <f t="shared" ca="1" si="38"/>
        <v>-8783.3333333333285</v>
      </c>
      <c r="R478" s="563">
        <f t="shared" ca="1" si="39"/>
        <v>1</v>
      </c>
      <c r="S478" s="565" t="s">
        <v>900</v>
      </c>
    </row>
    <row r="479" spans="2:19" ht="39.950000000000003" customHeight="1" x14ac:dyDescent="0.25">
      <c r="B479" s="859">
        <v>41355</v>
      </c>
      <c r="C479" s="558" t="s">
        <v>2349</v>
      </c>
      <c r="D479" s="558"/>
      <c r="E479" s="565" t="s">
        <v>901</v>
      </c>
      <c r="F479" s="548" t="s">
        <v>908</v>
      </c>
      <c r="G479" s="559" t="s">
        <v>909</v>
      </c>
      <c r="H479" s="548" t="s">
        <v>28</v>
      </c>
      <c r="I479" s="548" t="s">
        <v>23</v>
      </c>
      <c r="J479" s="548" t="s">
        <v>737</v>
      </c>
      <c r="K479" s="576">
        <v>4611</v>
      </c>
      <c r="L479" s="576">
        <v>41.05</v>
      </c>
      <c r="M479" s="552">
        <f t="shared" si="35"/>
        <v>112.326431181486</v>
      </c>
      <c r="N479" s="577">
        <v>60</v>
      </c>
      <c r="O479" s="563">
        <f t="shared" si="36"/>
        <v>76.849999999999994</v>
      </c>
      <c r="P479" s="564">
        <f t="shared" ca="1" si="37"/>
        <v>150</v>
      </c>
      <c r="Q479" s="552">
        <f t="shared" ca="1" si="38"/>
        <v>-6916.5</v>
      </c>
      <c r="R479" s="563">
        <f t="shared" ca="1" si="39"/>
        <v>1</v>
      </c>
      <c r="S479" s="565" t="s">
        <v>904</v>
      </c>
    </row>
    <row r="480" spans="2:19" ht="39.950000000000003" customHeight="1" x14ac:dyDescent="0.25">
      <c r="B480" s="859">
        <v>41355</v>
      </c>
      <c r="C480" s="558" t="s">
        <v>2349</v>
      </c>
      <c r="D480" s="558"/>
      <c r="E480" s="565" t="s">
        <v>901</v>
      </c>
      <c r="F480" s="548" t="s">
        <v>910</v>
      </c>
      <c r="G480" s="559" t="s">
        <v>909</v>
      </c>
      <c r="H480" s="548" t="s">
        <v>28</v>
      </c>
      <c r="I480" s="548" t="s">
        <v>23</v>
      </c>
      <c r="J480" s="548" t="s">
        <v>737</v>
      </c>
      <c r="K480" s="576">
        <v>4611</v>
      </c>
      <c r="L480" s="576">
        <v>41.05</v>
      </c>
      <c r="M480" s="552">
        <f t="shared" si="35"/>
        <v>112.326431181486</v>
      </c>
      <c r="N480" s="577">
        <v>60</v>
      </c>
      <c r="O480" s="563">
        <f t="shared" si="36"/>
        <v>76.849999999999994</v>
      </c>
      <c r="P480" s="564">
        <f t="shared" ca="1" si="37"/>
        <v>150</v>
      </c>
      <c r="Q480" s="552">
        <f t="shared" ca="1" si="38"/>
        <v>-6916.5</v>
      </c>
      <c r="R480" s="563">
        <f t="shared" ca="1" si="39"/>
        <v>1</v>
      </c>
      <c r="S480" s="565" t="s">
        <v>904</v>
      </c>
    </row>
    <row r="481" spans="2:19" ht="39.950000000000003" customHeight="1" x14ac:dyDescent="0.25">
      <c r="B481" s="859">
        <v>41355</v>
      </c>
      <c r="C481" s="558" t="s">
        <v>2349</v>
      </c>
      <c r="D481" s="558"/>
      <c r="E481" s="565" t="s">
        <v>901</v>
      </c>
      <c r="F481" s="548" t="s">
        <v>905</v>
      </c>
      <c r="G481" s="559" t="s">
        <v>906</v>
      </c>
      <c r="H481" s="548" t="s">
        <v>28</v>
      </c>
      <c r="I481" s="548" t="s">
        <v>23</v>
      </c>
      <c r="J481" s="548" t="s">
        <v>737</v>
      </c>
      <c r="K481" s="576">
        <v>7616</v>
      </c>
      <c r="L481" s="576">
        <v>41.05</v>
      </c>
      <c r="M481" s="552">
        <f t="shared" si="35"/>
        <v>185.52984165651645</v>
      </c>
      <c r="N481" s="577">
        <v>60</v>
      </c>
      <c r="O481" s="563">
        <f t="shared" si="36"/>
        <v>126.93333333333334</v>
      </c>
      <c r="P481" s="564">
        <f t="shared" ca="1" si="37"/>
        <v>150</v>
      </c>
      <c r="Q481" s="552">
        <f t="shared" ca="1" si="38"/>
        <v>-11424</v>
      </c>
      <c r="R481" s="563">
        <f t="shared" ca="1" si="39"/>
        <v>1</v>
      </c>
      <c r="S481" s="565" t="s">
        <v>904</v>
      </c>
    </row>
    <row r="482" spans="2:19" ht="39.950000000000003" customHeight="1" x14ac:dyDescent="0.25">
      <c r="B482" s="859">
        <v>41355</v>
      </c>
      <c r="C482" s="558" t="s">
        <v>2349</v>
      </c>
      <c r="D482" s="558"/>
      <c r="E482" s="565" t="s">
        <v>901</v>
      </c>
      <c r="F482" s="548" t="s">
        <v>907</v>
      </c>
      <c r="G482" s="559" t="s">
        <v>906</v>
      </c>
      <c r="H482" s="548" t="s">
        <v>28</v>
      </c>
      <c r="I482" s="548" t="s">
        <v>23</v>
      </c>
      <c r="J482" s="548" t="s">
        <v>737</v>
      </c>
      <c r="K482" s="576">
        <v>7616</v>
      </c>
      <c r="L482" s="576">
        <v>41.05</v>
      </c>
      <c r="M482" s="552">
        <f t="shared" si="35"/>
        <v>185.52984165651645</v>
      </c>
      <c r="N482" s="577">
        <v>60</v>
      </c>
      <c r="O482" s="563">
        <f t="shared" si="36"/>
        <v>126.93333333333334</v>
      </c>
      <c r="P482" s="564">
        <f t="shared" ca="1" si="37"/>
        <v>150</v>
      </c>
      <c r="Q482" s="552">
        <f t="shared" ca="1" si="38"/>
        <v>-11424</v>
      </c>
      <c r="R482" s="563">
        <f t="shared" ca="1" si="39"/>
        <v>1</v>
      </c>
      <c r="S482" s="565" t="s">
        <v>904</v>
      </c>
    </row>
    <row r="483" spans="2:19" ht="39.950000000000003" customHeight="1" x14ac:dyDescent="0.25">
      <c r="B483" s="859">
        <v>41355</v>
      </c>
      <c r="C483" s="558" t="s">
        <v>2349</v>
      </c>
      <c r="D483" s="558"/>
      <c r="E483" s="565" t="s">
        <v>911</v>
      </c>
      <c r="F483" s="548" t="s">
        <v>912</v>
      </c>
      <c r="G483" s="559" t="s">
        <v>913</v>
      </c>
      <c r="H483" s="548" t="s">
        <v>28</v>
      </c>
      <c r="I483" s="548" t="s">
        <v>23</v>
      </c>
      <c r="J483" s="548" t="s">
        <v>737</v>
      </c>
      <c r="K483" s="576">
        <v>3526</v>
      </c>
      <c r="L483" s="576">
        <v>41.05</v>
      </c>
      <c r="M483" s="552">
        <f t="shared" si="35"/>
        <v>85.895249695493305</v>
      </c>
      <c r="N483" s="577">
        <v>60</v>
      </c>
      <c r="O483" s="563">
        <f t="shared" si="36"/>
        <v>58.766666666666666</v>
      </c>
      <c r="P483" s="564">
        <f t="shared" ca="1" si="37"/>
        <v>150</v>
      </c>
      <c r="Q483" s="552">
        <f t="shared" ca="1" si="38"/>
        <v>-5289</v>
      </c>
      <c r="R483" s="563">
        <f t="shared" ca="1" si="39"/>
        <v>1</v>
      </c>
      <c r="S483" s="565" t="s">
        <v>914</v>
      </c>
    </row>
    <row r="484" spans="2:19" ht="39.950000000000003" customHeight="1" x14ac:dyDescent="0.25">
      <c r="B484" s="859">
        <v>41355</v>
      </c>
      <c r="C484" s="558" t="s">
        <v>2349</v>
      </c>
      <c r="D484" s="558"/>
      <c r="E484" s="565" t="s">
        <v>911</v>
      </c>
      <c r="F484" s="548" t="s">
        <v>915</v>
      </c>
      <c r="G484" s="559" t="s">
        <v>913</v>
      </c>
      <c r="H484" s="548" t="s">
        <v>28</v>
      </c>
      <c r="I484" s="548" t="s">
        <v>23</v>
      </c>
      <c r="J484" s="548" t="s">
        <v>737</v>
      </c>
      <c r="K484" s="576">
        <v>3526</v>
      </c>
      <c r="L484" s="576">
        <v>41.05</v>
      </c>
      <c r="M484" s="552">
        <f t="shared" si="35"/>
        <v>85.895249695493305</v>
      </c>
      <c r="N484" s="577">
        <v>60</v>
      </c>
      <c r="O484" s="563">
        <f t="shared" si="36"/>
        <v>58.766666666666666</v>
      </c>
      <c r="P484" s="564">
        <f t="shared" ca="1" si="37"/>
        <v>150</v>
      </c>
      <c r="Q484" s="552">
        <f t="shared" ca="1" si="38"/>
        <v>-5289</v>
      </c>
      <c r="R484" s="563">
        <f t="shared" ca="1" si="39"/>
        <v>1</v>
      </c>
      <c r="S484" s="565" t="s">
        <v>914</v>
      </c>
    </row>
    <row r="485" spans="2:19" ht="39.950000000000003" customHeight="1" x14ac:dyDescent="0.25">
      <c r="B485" s="859">
        <v>41355</v>
      </c>
      <c r="C485" s="558" t="s">
        <v>2349</v>
      </c>
      <c r="D485" s="558"/>
      <c r="E485" s="565" t="s">
        <v>901</v>
      </c>
      <c r="F485" s="548" t="s">
        <v>902</v>
      </c>
      <c r="G485" s="559" t="s">
        <v>903</v>
      </c>
      <c r="H485" s="548" t="s">
        <v>28</v>
      </c>
      <c r="I485" s="548" t="s">
        <v>23</v>
      </c>
      <c r="J485" s="548" t="s">
        <v>737</v>
      </c>
      <c r="K485" s="576">
        <v>90500</v>
      </c>
      <c r="L485" s="576">
        <v>41.05</v>
      </c>
      <c r="M485" s="552">
        <f t="shared" si="35"/>
        <v>2204.6285018270405</v>
      </c>
      <c r="N485" s="577">
        <v>60</v>
      </c>
      <c r="O485" s="563">
        <f t="shared" si="36"/>
        <v>1508.3333333333333</v>
      </c>
      <c r="P485" s="564">
        <f t="shared" ca="1" si="37"/>
        <v>150</v>
      </c>
      <c r="Q485" s="552">
        <f t="shared" ca="1" si="38"/>
        <v>-135750</v>
      </c>
      <c r="R485" s="563">
        <f t="shared" ca="1" si="39"/>
        <v>1</v>
      </c>
      <c r="S485" s="565" t="s">
        <v>904</v>
      </c>
    </row>
    <row r="486" spans="2:19" ht="39.950000000000003" customHeight="1" x14ac:dyDescent="0.25">
      <c r="B486" s="859">
        <v>41418</v>
      </c>
      <c r="C486" s="558" t="s">
        <v>2349</v>
      </c>
      <c r="D486" s="558"/>
      <c r="E486" s="565" t="s">
        <v>916</v>
      </c>
      <c r="F486" s="548" t="s">
        <v>917</v>
      </c>
      <c r="G486" s="565" t="s">
        <v>918</v>
      </c>
      <c r="H486" s="571" t="s">
        <v>919</v>
      </c>
      <c r="I486" s="548" t="s">
        <v>34</v>
      </c>
      <c r="J486" s="548" t="s">
        <v>19</v>
      </c>
      <c r="K486" s="576">
        <v>9735</v>
      </c>
      <c r="L486" s="576">
        <v>41.13</v>
      </c>
      <c r="M486" s="552">
        <f t="shared" si="35"/>
        <v>236.68854850474105</v>
      </c>
      <c r="N486" s="577">
        <v>60</v>
      </c>
      <c r="O486" s="563">
        <f t="shared" si="36"/>
        <v>162.25</v>
      </c>
      <c r="P486" s="564">
        <f t="shared" ca="1" si="37"/>
        <v>148</v>
      </c>
      <c r="Q486" s="552">
        <f t="shared" ca="1" si="38"/>
        <v>-14278</v>
      </c>
      <c r="R486" s="563">
        <f t="shared" ca="1" si="39"/>
        <v>1</v>
      </c>
      <c r="S486" s="565" t="s">
        <v>895</v>
      </c>
    </row>
    <row r="487" spans="2:19" ht="39.950000000000003" customHeight="1" x14ac:dyDescent="0.25">
      <c r="B487" s="859">
        <v>41425</v>
      </c>
      <c r="C487" s="558" t="s">
        <v>2349</v>
      </c>
      <c r="D487" s="558"/>
      <c r="E487" s="565" t="s">
        <v>926</v>
      </c>
      <c r="F487" s="548" t="s">
        <v>1025</v>
      </c>
      <c r="G487" s="565" t="s">
        <v>1026</v>
      </c>
      <c r="H487" s="571" t="s">
        <v>1027</v>
      </c>
      <c r="I487" s="548" t="s">
        <v>1028</v>
      </c>
      <c r="J487" s="548" t="s">
        <v>19</v>
      </c>
      <c r="K487" s="578">
        <v>57907.62</v>
      </c>
      <c r="L487" s="576">
        <v>41.178800000000003</v>
      </c>
      <c r="M487" s="552">
        <f t="shared" si="35"/>
        <v>1406.2483608070172</v>
      </c>
      <c r="N487" s="577">
        <v>60</v>
      </c>
      <c r="O487" s="563">
        <f t="shared" si="36"/>
        <v>965.12700000000007</v>
      </c>
      <c r="P487" s="564">
        <f t="shared" ca="1" si="37"/>
        <v>147</v>
      </c>
      <c r="Q487" s="552">
        <f t="shared" ca="1" si="38"/>
        <v>-83966.049000000028</v>
      </c>
      <c r="R487" s="563">
        <f t="shared" ca="1" si="39"/>
        <v>1</v>
      </c>
      <c r="S487" s="565" t="s">
        <v>925</v>
      </c>
    </row>
    <row r="488" spans="2:19" ht="39.950000000000003" customHeight="1" x14ac:dyDescent="0.25">
      <c r="B488" s="859">
        <v>41425</v>
      </c>
      <c r="C488" s="558" t="s">
        <v>2349</v>
      </c>
      <c r="D488" s="558"/>
      <c r="E488" s="565" t="s">
        <v>920</v>
      </c>
      <c r="F488" s="548" t="s">
        <v>921</v>
      </c>
      <c r="G488" s="565" t="s">
        <v>922</v>
      </c>
      <c r="H488" s="571" t="s">
        <v>923</v>
      </c>
      <c r="I488" s="548" t="s">
        <v>924</v>
      </c>
      <c r="J488" s="548" t="s">
        <v>19</v>
      </c>
      <c r="K488" s="578">
        <v>57907.62</v>
      </c>
      <c r="L488" s="576">
        <v>41.2</v>
      </c>
      <c r="M488" s="552">
        <f t="shared" si="35"/>
        <v>1405.5247572815533</v>
      </c>
      <c r="N488" s="577">
        <v>60</v>
      </c>
      <c r="O488" s="563">
        <f t="shared" si="36"/>
        <v>965.12700000000007</v>
      </c>
      <c r="P488" s="564">
        <f t="shared" ca="1" si="37"/>
        <v>147</v>
      </c>
      <c r="Q488" s="552">
        <f t="shared" ca="1" si="38"/>
        <v>-83966.049000000028</v>
      </c>
      <c r="R488" s="563">
        <f t="shared" ca="1" si="39"/>
        <v>1</v>
      </c>
      <c r="S488" s="565" t="s">
        <v>925</v>
      </c>
    </row>
    <row r="489" spans="2:19" ht="39.950000000000003" customHeight="1" x14ac:dyDescent="0.25">
      <c r="B489" s="859">
        <v>41425</v>
      </c>
      <c r="C489" s="558" t="s">
        <v>2349</v>
      </c>
      <c r="D489" s="558"/>
      <c r="E489" s="565" t="s">
        <v>926</v>
      </c>
      <c r="F489" s="548" t="s">
        <v>990</v>
      </c>
      <c r="G489" s="565" t="s">
        <v>922</v>
      </c>
      <c r="H489" s="571" t="s">
        <v>991</v>
      </c>
      <c r="I489" s="548" t="s">
        <v>992</v>
      </c>
      <c r="J489" s="548" t="s">
        <v>19</v>
      </c>
      <c r="K489" s="578">
        <v>57907.62</v>
      </c>
      <c r="L489" s="576">
        <v>41.178800000000003</v>
      </c>
      <c r="M489" s="552">
        <f t="shared" si="35"/>
        <v>1406.2483608070172</v>
      </c>
      <c r="N489" s="577">
        <v>60</v>
      </c>
      <c r="O489" s="563">
        <f t="shared" si="36"/>
        <v>965.12700000000007</v>
      </c>
      <c r="P489" s="564">
        <f t="shared" ca="1" si="37"/>
        <v>147</v>
      </c>
      <c r="Q489" s="552">
        <f t="shared" ca="1" si="38"/>
        <v>-83966.049000000028</v>
      </c>
      <c r="R489" s="563">
        <f t="shared" ca="1" si="39"/>
        <v>1</v>
      </c>
      <c r="S489" s="565" t="s">
        <v>925</v>
      </c>
    </row>
    <row r="490" spans="2:19" ht="39.950000000000003" customHeight="1" x14ac:dyDescent="0.25">
      <c r="B490" s="859">
        <v>41425</v>
      </c>
      <c r="C490" s="558" t="s">
        <v>2349</v>
      </c>
      <c r="D490" s="558"/>
      <c r="E490" s="565" t="s">
        <v>926</v>
      </c>
      <c r="F490" s="548" t="s">
        <v>999</v>
      </c>
      <c r="G490" s="565" t="s">
        <v>922</v>
      </c>
      <c r="H490" s="571" t="s">
        <v>1000</v>
      </c>
      <c r="I490" s="548" t="s">
        <v>1001</v>
      </c>
      <c r="J490" s="548" t="s">
        <v>19</v>
      </c>
      <c r="K490" s="578">
        <v>57907.62</v>
      </c>
      <c r="L490" s="576">
        <v>41.178800000000003</v>
      </c>
      <c r="M490" s="552">
        <f t="shared" si="35"/>
        <v>1406.2483608070172</v>
      </c>
      <c r="N490" s="577">
        <v>60</v>
      </c>
      <c r="O490" s="563">
        <f t="shared" si="36"/>
        <v>965.12700000000007</v>
      </c>
      <c r="P490" s="564">
        <f t="shared" ca="1" si="37"/>
        <v>147</v>
      </c>
      <c r="Q490" s="552">
        <f t="shared" ca="1" si="38"/>
        <v>-83966.049000000028</v>
      </c>
      <c r="R490" s="563">
        <f t="shared" ca="1" si="39"/>
        <v>1</v>
      </c>
      <c r="S490" s="565" t="s">
        <v>925</v>
      </c>
    </row>
    <row r="491" spans="2:19" ht="39.950000000000003" customHeight="1" x14ac:dyDescent="0.25">
      <c r="B491" s="859">
        <v>41425</v>
      </c>
      <c r="C491" s="558" t="s">
        <v>2349</v>
      </c>
      <c r="D491" s="558"/>
      <c r="E491" s="565" t="s">
        <v>926</v>
      </c>
      <c r="F491" s="548" t="s">
        <v>1038</v>
      </c>
      <c r="G491" s="565" t="s">
        <v>922</v>
      </c>
      <c r="H491" s="571" t="s">
        <v>1039</v>
      </c>
      <c r="I491" s="548" t="s">
        <v>1040</v>
      </c>
      <c r="J491" s="548" t="s">
        <v>19</v>
      </c>
      <c r="K491" s="578">
        <v>57907.62</v>
      </c>
      <c r="L491" s="576">
        <v>41.178800000000003</v>
      </c>
      <c r="M491" s="552">
        <f t="shared" si="35"/>
        <v>1406.2483608070172</v>
      </c>
      <c r="N491" s="577">
        <v>60</v>
      </c>
      <c r="O491" s="563">
        <f t="shared" si="36"/>
        <v>965.12700000000007</v>
      </c>
      <c r="P491" s="564">
        <f t="shared" ca="1" si="37"/>
        <v>147</v>
      </c>
      <c r="Q491" s="552">
        <f t="shared" ca="1" si="38"/>
        <v>-83966.049000000028</v>
      </c>
      <c r="R491" s="563">
        <f t="shared" ca="1" si="39"/>
        <v>1</v>
      </c>
      <c r="S491" s="565" t="s">
        <v>925</v>
      </c>
    </row>
    <row r="492" spans="2:19" ht="39.950000000000003" customHeight="1" x14ac:dyDescent="0.25">
      <c r="B492" s="859">
        <v>41425</v>
      </c>
      <c r="C492" s="558" t="s">
        <v>2349</v>
      </c>
      <c r="D492" s="558"/>
      <c r="E492" s="565" t="s">
        <v>926</v>
      </c>
      <c r="F492" s="548" t="s">
        <v>927</v>
      </c>
      <c r="G492" s="565" t="s">
        <v>928</v>
      </c>
      <c r="H492" s="571" t="s">
        <v>929</v>
      </c>
      <c r="I492" s="548" t="s">
        <v>4408</v>
      </c>
      <c r="J492" s="548" t="s">
        <v>19</v>
      </c>
      <c r="K492" s="578">
        <v>47097.79</v>
      </c>
      <c r="L492" s="576">
        <v>41.178800000000003</v>
      </c>
      <c r="M492" s="552">
        <f t="shared" si="35"/>
        <v>1143.7387684925252</v>
      </c>
      <c r="N492" s="577">
        <v>60</v>
      </c>
      <c r="O492" s="563">
        <f t="shared" si="36"/>
        <v>784.96316666666667</v>
      </c>
      <c r="P492" s="564">
        <f t="shared" ca="1" si="37"/>
        <v>147</v>
      </c>
      <c r="Q492" s="552">
        <f t="shared" ca="1" si="38"/>
        <v>-68291.795500000007</v>
      </c>
      <c r="R492" s="563">
        <f t="shared" ca="1" si="39"/>
        <v>1</v>
      </c>
      <c r="S492" s="565" t="s">
        <v>925</v>
      </c>
    </row>
    <row r="493" spans="2:19" ht="39.950000000000003" customHeight="1" x14ac:dyDescent="0.25">
      <c r="B493" s="859">
        <v>41425</v>
      </c>
      <c r="C493" s="558" t="s">
        <v>2349</v>
      </c>
      <c r="D493" s="558"/>
      <c r="E493" s="565" t="s">
        <v>926</v>
      </c>
      <c r="F493" s="548" t="s">
        <v>930</v>
      </c>
      <c r="G493" s="565" t="s">
        <v>928</v>
      </c>
      <c r="H493" s="571" t="s">
        <v>931</v>
      </c>
      <c r="I493" s="548" t="s">
        <v>932</v>
      </c>
      <c r="J493" s="548" t="s">
        <v>19</v>
      </c>
      <c r="K493" s="578">
        <v>47097.79</v>
      </c>
      <c r="L493" s="576">
        <v>41.178800000000003</v>
      </c>
      <c r="M493" s="552">
        <f t="shared" si="35"/>
        <v>1143.7387684925252</v>
      </c>
      <c r="N493" s="577">
        <v>60</v>
      </c>
      <c r="O493" s="563">
        <f t="shared" si="36"/>
        <v>784.96316666666667</v>
      </c>
      <c r="P493" s="564">
        <f t="shared" ca="1" si="37"/>
        <v>147</v>
      </c>
      <c r="Q493" s="552">
        <f t="shared" ca="1" si="38"/>
        <v>-68291.795500000007</v>
      </c>
      <c r="R493" s="563">
        <f t="shared" ca="1" si="39"/>
        <v>1</v>
      </c>
      <c r="S493" s="565" t="s">
        <v>925</v>
      </c>
    </row>
    <row r="494" spans="2:19" ht="39.950000000000003" customHeight="1" x14ac:dyDescent="0.25">
      <c r="B494" s="859">
        <v>41425</v>
      </c>
      <c r="C494" s="558" t="s">
        <v>2349</v>
      </c>
      <c r="D494" s="558"/>
      <c r="E494" s="565" t="s">
        <v>926</v>
      </c>
      <c r="F494" s="548" t="s">
        <v>933</v>
      </c>
      <c r="G494" s="565" t="s">
        <v>928</v>
      </c>
      <c r="H494" s="571" t="s">
        <v>934</v>
      </c>
      <c r="I494" s="548" t="s">
        <v>935</v>
      </c>
      <c r="J494" s="548" t="s">
        <v>19</v>
      </c>
      <c r="K494" s="578">
        <v>47097.79</v>
      </c>
      <c r="L494" s="576">
        <v>41.178800000000003</v>
      </c>
      <c r="M494" s="552">
        <f t="shared" si="35"/>
        <v>1143.7387684925252</v>
      </c>
      <c r="N494" s="577">
        <v>60</v>
      </c>
      <c r="O494" s="563">
        <f t="shared" si="36"/>
        <v>784.96316666666667</v>
      </c>
      <c r="P494" s="564">
        <f t="shared" ca="1" si="37"/>
        <v>147</v>
      </c>
      <c r="Q494" s="552">
        <f t="shared" ca="1" si="38"/>
        <v>-68291.795500000007</v>
      </c>
      <c r="R494" s="563">
        <f t="shared" ca="1" si="39"/>
        <v>1</v>
      </c>
      <c r="S494" s="565" t="s">
        <v>925</v>
      </c>
    </row>
    <row r="495" spans="2:19" ht="39.950000000000003" customHeight="1" x14ac:dyDescent="0.25">
      <c r="B495" s="859">
        <v>41425</v>
      </c>
      <c r="C495" s="558" t="s">
        <v>2349</v>
      </c>
      <c r="D495" s="558"/>
      <c r="E495" s="565" t="s">
        <v>926</v>
      </c>
      <c r="F495" s="548" t="s">
        <v>936</v>
      </c>
      <c r="G495" s="565" t="s">
        <v>928</v>
      </c>
      <c r="H495" s="571" t="s">
        <v>937</v>
      </c>
      <c r="I495" s="548" t="s">
        <v>938</v>
      </c>
      <c r="J495" s="548" t="s">
        <v>19</v>
      </c>
      <c r="K495" s="578">
        <v>47097.79</v>
      </c>
      <c r="L495" s="576">
        <v>41.178800000000003</v>
      </c>
      <c r="M495" s="552">
        <f t="shared" si="35"/>
        <v>1143.7387684925252</v>
      </c>
      <c r="N495" s="577">
        <v>60</v>
      </c>
      <c r="O495" s="563">
        <f t="shared" si="36"/>
        <v>784.96316666666667</v>
      </c>
      <c r="P495" s="564">
        <f t="shared" ca="1" si="37"/>
        <v>147</v>
      </c>
      <c r="Q495" s="552">
        <f t="shared" ca="1" si="38"/>
        <v>-68291.795500000007</v>
      </c>
      <c r="R495" s="563">
        <f t="shared" ca="1" si="39"/>
        <v>1</v>
      </c>
      <c r="S495" s="565" t="s">
        <v>925</v>
      </c>
    </row>
    <row r="496" spans="2:19" ht="39.950000000000003" customHeight="1" x14ac:dyDescent="0.25">
      <c r="B496" s="859">
        <v>41425</v>
      </c>
      <c r="C496" s="558" t="s">
        <v>2349</v>
      </c>
      <c r="D496" s="558"/>
      <c r="E496" s="565" t="s">
        <v>926</v>
      </c>
      <c r="F496" s="548" t="s">
        <v>939</v>
      </c>
      <c r="G496" s="565" t="s">
        <v>928</v>
      </c>
      <c r="H496" s="571" t="s">
        <v>940</v>
      </c>
      <c r="I496" s="548" t="s">
        <v>941</v>
      </c>
      <c r="J496" s="548" t="s">
        <v>19</v>
      </c>
      <c r="K496" s="578">
        <v>47097.79</v>
      </c>
      <c r="L496" s="576">
        <v>41.178800000000003</v>
      </c>
      <c r="M496" s="552">
        <f t="shared" si="35"/>
        <v>1143.7387684925252</v>
      </c>
      <c r="N496" s="577">
        <v>60</v>
      </c>
      <c r="O496" s="563">
        <f t="shared" si="36"/>
        <v>784.96316666666667</v>
      </c>
      <c r="P496" s="564">
        <f t="shared" ca="1" si="37"/>
        <v>147</v>
      </c>
      <c r="Q496" s="552">
        <f t="shared" ca="1" si="38"/>
        <v>-68291.795500000007</v>
      </c>
      <c r="R496" s="563">
        <f t="shared" ca="1" si="39"/>
        <v>1</v>
      </c>
      <c r="S496" s="565" t="s">
        <v>925</v>
      </c>
    </row>
    <row r="497" spans="2:19" ht="39.950000000000003" customHeight="1" x14ac:dyDescent="0.25">
      <c r="B497" s="859">
        <v>41425</v>
      </c>
      <c r="C497" s="558" t="s">
        <v>2349</v>
      </c>
      <c r="D497" s="558"/>
      <c r="E497" s="565" t="s">
        <v>926</v>
      </c>
      <c r="F497" s="548" t="s">
        <v>942</v>
      </c>
      <c r="G497" s="565" t="s">
        <v>928</v>
      </c>
      <c r="H497" s="571" t="s">
        <v>943</v>
      </c>
      <c r="I497" s="548" t="s">
        <v>944</v>
      </c>
      <c r="J497" s="548" t="s">
        <v>19</v>
      </c>
      <c r="K497" s="578">
        <v>47097.79</v>
      </c>
      <c r="L497" s="576">
        <v>41.178800000000003</v>
      </c>
      <c r="M497" s="552">
        <f t="shared" si="35"/>
        <v>1143.7387684925252</v>
      </c>
      <c r="N497" s="577">
        <v>60</v>
      </c>
      <c r="O497" s="563">
        <f t="shared" si="36"/>
        <v>784.96316666666667</v>
      </c>
      <c r="P497" s="564">
        <f t="shared" ca="1" si="37"/>
        <v>147</v>
      </c>
      <c r="Q497" s="552">
        <f t="shared" ca="1" si="38"/>
        <v>-68291.795500000007</v>
      </c>
      <c r="R497" s="563">
        <f t="shared" ca="1" si="39"/>
        <v>1</v>
      </c>
      <c r="S497" s="565" t="s">
        <v>925</v>
      </c>
    </row>
    <row r="498" spans="2:19" ht="39.950000000000003" customHeight="1" x14ac:dyDescent="0.25">
      <c r="B498" s="859">
        <v>41425</v>
      </c>
      <c r="C498" s="558" t="s">
        <v>2349</v>
      </c>
      <c r="D498" s="558"/>
      <c r="E498" s="565" t="s">
        <v>926</v>
      </c>
      <c r="F498" s="548" t="s">
        <v>945</v>
      </c>
      <c r="G498" s="565" t="s">
        <v>928</v>
      </c>
      <c r="H498" s="571" t="s">
        <v>946</v>
      </c>
      <c r="I498" s="548" t="s">
        <v>947</v>
      </c>
      <c r="J498" s="548" t="s">
        <v>19</v>
      </c>
      <c r="K498" s="578">
        <v>47097.79</v>
      </c>
      <c r="L498" s="576">
        <v>41.178800000000003</v>
      </c>
      <c r="M498" s="552">
        <f t="shared" si="35"/>
        <v>1143.7387684925252</v>
      </c>
      <c r="N498" s="577">
        <v>60</v>
      </c>
      <c r="O498" s="563">
        <f t="shared" si="36"/>
        <v>784.96316666666667</v>
      </c>
      <c r="P498" s="564">
        <f t="shared" ca="1" si="37"/>
        <v>147</v>
      </c>
      <c r="Q498" s="552">
        <f t="shared" ca="1" si="38"/>
        <v>-68291.795500000007</v>
      </c>
      <c r="R498" s="563">
        <f t="shared" ca="1" si="39"/>
        <v>1</v>
      </c>
      <c r="S498" s="565" t="s">
        <v>925</v>
      </c>
    </row>
    <row r="499" spans="2:19" ht="39.950000000000003" customHeight="1" x14ac:dyDescent="0.25">
      <c r="B499" s="859">
        <v>41425</v>
      </c>
      <c r="C499" s="558" t="s">
        <v>2349</v>
      </c>
      <c r="D499" s="558"/>
      <c r="E499" s="565" t="s">
        <v>926</v>
      </c>
      <c r="F499" s="548" t="s">
        <v>948</v>
      </c>
      <c r="G499" s="565" t="s">
        <v>928</v>
      </c>
      <c r="H499" s="571" t="s">
        <v>949</v>
      </c>
      <c r="I499" s="548" t="s">
        <v>950</v>
      </c>
      <c r="J499" s="548" t="s">
        <v>19</v>
      </c>
      <c r="K499" s="578">
        <v>47097.79</v>
      </c>
      <c r="L499" s="576">
        <v>41.178800000000003</v>
      </c>
      <c r="M499" s="552">
        <f t="shared" si="35"/>
        <v>1143.7387684925252</v>
      </c>
      <c r="N499" s="577">
        <v>60</v>
      </c>
      <c r="O499" s="563">
        <f t="shared" si="36"/>
        <v>784.96316666666667</v>
      </c>
      <c r="P499" s="564">
        <f t="shared" ca="1" si="37"/>
        <v>147</v>
      </c>
      <c r="Q499" s="552">
        <f t="shared" ca="1" si="38"/>
        <v>-68291.795500000007</v>
      </c>
      <c r="R499" s="563">
        <f t="shared" ca="1" si="39"/>
        <v>1</v>
      </c>
      <c r="S499" s="565" t="s">
        <v>925</v>
      </c>
    </row>
    <row r="500" spans="2:19" ht="39.950000000000003" customHeight="1" x14ac:dyDescent="0.25">
      <c r="B500" s="859">
        <v>41425</v>
      </c>
      <c r="C500" s="558" t="s">
        <v>2349</v>
      </c>
      <c r="D500" s="558"/>
      <c r="E500" s="565" t="s">
        <v>926</v>
      </c>
      <c r="F500" s="548" t="s">
        <v>951</v>
      </c>
      <c r="G500" s="565" t="s">
        <v>928</v>
      </c>
      <c r="H500" s="571" t="s">
        <v>952</v>
      </c>
      <c r="I500" s="548" t="s">
        <v>953</v>
      </c>
      <c r="J500" s="548" t="s">
        <v>19</v>
      </c>
      <c r="K500" s="578">
        <v>47097.79</v>
      </c>
      <c r="L500" s="576">
        <v>41.178800000000003</v>
      </c>
      <c r="M500" s="552">
        <f t="shared" si="35"/>
        <v>1143.7387684925252</v>
      </c>
      <c r="N500" s="577">
        <v>60</v>
      </c>
      <c r="O500" s="563">
        <f t="shared" si="36"/>
        <v>784.96316666666667</v>
      </c>
      <c r="P500" s="564">
        <f t="shared" ca="1" si="37"/>
        <v>147</v>
      </c>
      <c r="Q500" s="552">
        <f t="shared" ca="1" si="38"/>
        <v>-68291.795500000007</v>
      </c>
      <c r="R500" s="563">
        <f t="shared" ca="1" si="39"/>
        <v>1</v>
      </c>
      <c r="S500" s="565" t="s">
        <v>925</v>
      </c>
    </row>
    <row r="501" spans="2:19" ht="39.950000000000003" customHeight="1" x14ac:dyDescent="0.25">
      <c r="B501" s="859">
        <v>41425</v>
      </c>
      <c r="C501" s="558" t="s">
        <v>2349</v>
      </c>
      <c r="D501" s="558"/>
      <c r="E501" s="565" t="s">
        <v>926</v>
      </c>
      <c r="F501" s="548" t="s">
        <v>954</v>
      </c>
      <c r="G501" s="565" t="s">
        <v>928</v>
      </c>
      <c r="H501" s="571" t="s">
        <v>955</v>
      </c>
      <c r="I501" s="548" t="s">
        <v>956</v>
      </c>
      <c r="J501" s="548" t="s">
        <v>19</v>
      </c>
      <c r="K501" s="578">
        <v>47097.79</v>
      </c>
      <c r="L501" s="576">
        <v>41.178800000000003</v>
      </c>
      <c r="M501" s="552">
        <f t="shared" si="35"/>
        <v>1143.7387684925252</v>
      </c>
      <c r="N501" s="577">
        <v>60</v>
      </c>
      <c r="O501" s="563">
        <f t="shared" si="36"/>
        <v>784.96316666666667</v>
      </c>
      <c r="P501" s="564">
        <f t="shared" ca="1" si="37"/>
        <v>147</v>
      </c>
      <c r="Q501" s="552">
        <f t="shared" ca="1" si="38"/>
        <v>-68291.795500000007</v>
      </c>
      <c r="R501" s="563">
        <f t="shared" ca="1" si="39"/>
        <v>1</v>
      </c>
      <c r="S501" s="565" t="s">
        <v>925</v>
      </c>
    </row>
    <row r="502" spans="2:19" ht="39.950000000000003" customHeight="1" x14ac:dyDescent="0.25">
      <c r="B502" s="859">
        <v>41425</v>
      </c>
      <c r="C502" s="558" t="s">
        <v>2349</v>
      </c>
      <c r="D502" s="558"/>
      <c r="E502" s="565" t="s">
        <v>926</v>
      </c>
      <c r="F502" s="548" t="s">
        <v>957</v>
      </c>
      <c r="G502" s="565" t="s">
        <v>928</v>
      </c>
      <c r="H502" s="571" t="s">
        <v>958</v>
      </c>
      <c r="I502" s="548" t="s">
        <v>959</v>
      </c>
      <c r="J502" s="548" t="s">
        <v>19</v>
      </c>
      <c r="K502" s="578">
        <v>47097.79</v>
      </c>
      <c r="L502" s="576">
        <v>41.178800000000003</v>
      </c>
      <c r="M502" s="552">
        <f t="shared" si="35"/>
        <v>1143.7387684925252</v>
      </c>
      <c r="N502" s="577">
        <v>60</v>
      </c>
      <c r="O502" s="563">
        <f t="shared" si="36"/>
        <v>784.96316666666667</v>
      </c>
      <c r="P502" s="564">
        <f t="shared" ca="1" si="37"/>
        <v>147</v>
      </c>
      <c r="Q502" s="552">
        <f t="shared" ca="1" si="38"/>
        <v>-68291.795500000007</v>
      </c>
      <c r="R502" s="563">
        <f t="shared" ca="1" si="39"/>
        <v>1</v>
      </c>
      <c r="S502" s="565" t="s">
        <v>925</v>
      </c>
    </row>
    <row r="503" spans="2:19" ht="39.950000000000003" customHeight="1" x14ac:dyDescent="0.25">
      <c r="B503" s="859">
        <v>41425</v>
      </c>
      <c r="C503" s="558" t="s">
        <v>2349</v>
      </c>
      <c r="D503" s="558"/>
      <c r="E503" s="565" t="s">
        <v>926</v>
      </c>
      <c r="F503" s="548" t="s">
        <v>960</v>
      </c>
      <c r="G503" s="565" t="s">
        <v>928</v>
      </c>
      <c r="H503" s="571" t="s">
        <v>961</v>
      </c>
      <c r="I503" s="548" t="s">
        <v>962</v>
      </c>
      <c r="J503" s="548" t="s">
        <v>19</v>
      </c>
      <c r="K503" s="578">
        <v>47097.79</v>
      </c>
      <c r="L503" s="576">
        <v>41.178800000000003</v>
      </c>
      <c r="M503" s="552">
        <f t="shared" si="35"/>
        <v>1143.7387684925252</v>
      </c>
      <c r="N503" s="577">
        <v>60</v>
      </c>
      <c r="O503" s="563">
        <f t="shared" si="36"/>
        <v>784.96316666666667</v>
      </c>
      <c r="P503" s="564">
        <f t="shared" ca="1" si="37"/>
        <v>147</v>
      </c>
      <c r="Q503" s="552">
        <f t="shared" ca="1" si="38"/>
        <v>-68291.795500000007</v>
      </c>
      <c r="R503" s="563">
        <f t="shared" ca="1" si="39"/>
        <v>1</v>
      </c>
      <c r="S503" s="565" t="s">
        <v>925</v>
      </c>
    </row>
    <row r="504" spans="2:19" ht="39.950000000000003" customHeight="1" x14ac:dyDescent="0.25">
      <c r="B504" s="859">
        <v>41425</v>
      </c>
      <c r="C504" s="558" t="s">
        <v>2349</v>
      </c>
      <c r="D504" s="558"/>
      <c r="E504" s="565" t="s">
        <v>926</v>
      </c>
      <c r="F504" s="548" t="s">
        <v>963</v>
      </c>
      <c r="G504" s="565" t="s">
        <v>928</v>
      </c>
      <c r="H504" s="571" t="s">
        <v>964</v>
      </c>
      <c r="I504" s="548" t="s">
        <v>965</v>
      </c>
      <c r="J504" s="548" t="s">
        <v>19</v>
      </c>
      <c r="K504" s="578">
        <v>47097.79</v>
      </c>
      <c r="L504" s="576">
        <v>41.178800000000003</v>
      </c>
      <c r="M504" s="552">
        <f t="shared" si="35"/>
        <v>1143.7387684925252</v>
      </c>
      <c r="N504" s="577">
        <v>60</v>
      </c>
      <c r="O504" s="563">
        <f t="shared" si="36"/>
        <v>784.96316666666667</v>
      </c>
      <c r="P504" s="564">
        <f t="shared" ca="1" si="37"/>
        <v>147</v>
      </c>
      <c r="Q504" s="552">
        <f t="shared" ca="1" si="38"/>
        <v>-68291.795500000007</v>
      </c>
      <c r="R504" s="563">
        <f t="shared" ca="1" si="39"/>
        <v>1</v>
      </c>
      <c r="S504" s="565" t="s">
        <v>925</v>
      </c>
    </row>
    <row r="505" spans="2:19" ht="39.950000000000003" customHeight="1" x14ac:dyDescent="0.25">
      <c r="B505" s="859">
        <v>41425</v>
      </c>
      <c r="C505" s="558" t="s">
        <v>2349</v>
      </c>
      <c r="D505" s="558"/>
      <c r="E505" s="565" t="s">
        <v>926</v>
      </c>
      <c r="F505" s="548" t="s">
        <v>966</v>
      </c>
      <c r="G505" s="565" t="s">
        <v>928</v>
      </c>
      <c r="H505" s="571" t="s">
        <v>967</v>
      </c>
      <c r="I505" s="548" t="s">
        <v>968</v>
      </c>
      <c r="J505" s="548" t="s">
        <v>19</v>
      </c>
      <c r="K505" s="578">
        <v>47097.79</v>
      </c>
      <c r="L505" s="576">
        <v>41.178800000000003</v>
      </c>
      <c r="M505" s="552">
        <f t="shared" si="35"/>
        <v>1143.7387684925252</v>
      </c>
      <c r="N505" s="577">
        <v>60</v>
      </c>
      <c r="O505" s="563">
        <f t="shared" si="36"/>
        <v>784.96316666666667</v>
      </c>
      <c r="P505" s="564">
        <f t="shared" ca="1" si="37"/>
        <v>147</v>
      </c>
      <c r="Q505" s="552">
        <f t="shared" ca="1" si="38"/>
        <v>-68291.795500000007</v>
      </c>
      <c r="R505" s="563">
        <f t="shared" ca="1" si="39"/>
        <v>1</v>
      </c>
      <c r="S505" s="565" t="s">
        <v>925</v>
      </c>
    </row>
    <row r="506" spans="2:19" ht="39.950000000000003" customHeight="1" x14ac:dyDescent="0.25">
      <c r="B506" s="859">
        <v>41425</v>
      </c>
      <c r="C506" s="558" t="s">
        <v>2349</v>
      </c>
      <c r="D506" s="558"/>
      <c r="E506" s="565" t="s">
        <v>926</v>
      </c>
      <c r="F506" s="548" t="s">
        <v>969</v>
      </c>
      <c r="G506" s="565" t="s">
        <v>928</v>
      </c>
      <c r="H506" s="571" t="s">
        <v>970</v>
      </c>
      <c r="I506" s="548" t="s">
        <v>971</v>
      </c>
      <c r="J506" s="548" t="s">
        <v>19</v>
      </c>
      <c r="K506" s="578">
        <v>47097.79</v>
      </c>
      <c r="L506" s="576">
        <v>41.178800000000003</v>
      </c>
      <c r="M506" s="552">
        <f t="shared" si="35"/>
        <v>1143.7387684925252</v>
      </c>
      <c r="N506" s="577">
        <v>60</v>
      </c>
      <c r="O506" s="563">
        <f t="shared" si="36"/>
        <v>784.96316666666667</v>
      </c>
      <c r="P506" s="564">
        <f t="shared" ca="1" si="37"/>
        <v>147</v>
      </c>
      <c r="Q506" s="552">
        <f t="shared" ca="1" si="38"/>
        <v>-68291.795500000007</v>
      </c>
      <c r="R506" s="563">
        <f t="shared" ca="1" si="39"/>
        <v>1</v>
      </c>
      <c r="S506" s="565" t="s">
        <v>925</v>
      </c>
    </row>
    <row r="507" spans="2:19" ht="39.950000000000003" customHeight="1" x14ac:dyDescent="0.25">
      <c r="B507" s="859">
        <v>41425</v>
      </c>
      <c r="C507" s="558" t="s">
        <v>2349</v>
      </c>
      <c r="D507" s="558"/>
      <c r="E507" s="565" t="s">
        <v>926</v>
      </c>
      <c r="F507" s="548" t="s">
        <v>972</v>
      </c>
      <c r="G507" s="565" t="s">
        <v>928</v>
      </c>
      <c r="H507" s="571" t="s">
        <v>973</v>
      </c>
      <c r="I507" s="548" t="s">
        <v>974</v>
      </c>
      <c r="J507" s="548" t="s">
        <v>19</v>
      </c>
      <c r="K507" s="578">
        <v>47097.79</v>
      </c>
      <c r="L507" s="576">
        <v>41.178800000000003</v>
      </c>
      <c r="M507" s="552">
        <f t="shared" si="35"/>
        <v>1143.7387684925252</v>
      </c>
      <c r="N507" s="577">
        <v>60</v>
      </c>
      <c r="O507" s="563">
        <f t="shared" si="36"/>
        <v>784.96316666666667</v>
      </c>
      <c r="P507" s="564">
        <f t="shared" ca="1" si="37"/>
        <v>147</v>
      </c>
      <c r="Q507" s="552">
        <f t="shared" ca="1" si="38"/>
        <v>-68291.795500000007</v>
      </c>
      <c r="R507" s="563">
        <f t="shared" ca="1" si="39"/>
        <v>1</v>
      </c>
      <c r="S507" s="565" t="s">
        <v>925</v>
      </c>
    </row>
    <row r="508" spans="2:19" ht="39.950000000000003" customHeight="1" x14ac:dyDescent="0.25">
      <c r="B508" s="859">
        <v>41425</v>
      </c>
      <c r="C508" s="558" t="s">
        <v>2349</v>
      </c>
      <c r="D508" s="558"/>
      <c r="E508" s="565" t="s">
        <v>926</v>
      </c>
      <c r="F508" s="548" t="s">
        <v>975</v>
      </c>
      <c r="G508" s="565" t="s">
        <v>928</v>
      </c>
      <c r="H508" s="571" t="s">
        <v>976</v>
      </c>
      <c r="I508" s="548" t="s">
        <v>977</v>
      </c>
      <c r="J508" s="548" t="s">
        <v>19</v>
      </c>
      <c r="K508" s="578">
        <v>47097.79</v>
      </c>
      <c r="L508" s="576">
        <v>41.178800000000003</v>
      </c>
      <c r="M508" s="552">
        <f t="shared" si="35"/>
        <v>1143.7387684925252</v>
      </c>
      <c r="N508" s="577">
        <v>60</v>
      </c>
      <c r="O508" s="563">
        <f t="shared" si="36"/>
        <v>784.96316666666667</v>
      </c>
      <c r="P508" s="564">
        <f t="shared" ca="1" si="37"/>
        <v>147</v>
      </c>
      <c r="Q508" s="552">
        <f t="shared" ca="1" si="38"/>
        <v>-68291.795500000007</v>
      </c>
      <c r="R508" s="563">
        <f t="shared" ca="1" si="39"/>
        <v>1</v>
      </c>
      <c r="S508" s="565" t="s">
        <v>925</v>
      </c>
    </row>
    <row r="509" spans="2:19" ht="39.950000000000003" customHeight="1" x14ac:dyDescent="0.25">
      <c r="B509" s="859">
        <v>41425</v>
      </c>
      <c r="C509" s="558" t="s">
        <v>2349</v>
      </c>
      <c r="D509" s="558"/>
      <c r="E509" s="565" t="s">
        <v>926</v>
      </c>
      <c r="F509" s="548" t="s">
        <v>978</v>
      </c>
      <c r="G509" s="565" t="s">
        <v>928</v>
      </c>
      <c r="H509" s="571" t="s">
        <v>979</v>
      </c>
      <c r="I509" s="548" t="s">
        <v>980</v>
      </c>
      <c r="J509" s="548" t="s">
        <v>19</v>
      </c>
      <c r="K509" s="578">
        <v>47097.79</v>
      </c>
      <c r="L509" s="576">
        <v>41.178800000000003</v>
      </c>
      <c r="M509" s="552">
        <f t="shared" si="35"/>
        <v>1143.7387684925252</v>
      </c>
      <c r="N509" s="577">
        <v>60</v>
      </c>
      <c r="O509" s="563">
        <f t="shared" si="36"/>
        <v>784.96316666666667</v>
      </c>
      <c r="P509" s="564">
        <f t="shared" ca="1" si="37"/>
        <v>147</v>
      </c>
      <c r="Q509" s="552">
        <f t="shared" ca="1" si="38"/>
        <v>-68291.795500000007</v>
      </c>
      <c r="R509" s="563">
        <f t="shared" ca="1" si="39"/>
        <v>1</v>
      </c>
      <c r="S509" s="565" t="s">
        <v>925</v>
      </c>
    </row>
    <row r="510" spans="2:19" ht="39.950000000000003" customHeight="1" x14ac:dyDescent="0.25">
      <c r="B510" s="859">
        <v>41425</v>
      </c>
      <c r="C510" s="558" t="s">
        <v>2349</v>
      </c>
      <c r="D510" s="558"/>
      <c r="E510" s="565" t="s">
        <v>926</v>
      </c>
      <c r="F510" s="548" t="s">
        <v>981</v>
      </c>
      <c r="G510" s="565" t="s">
        <v>928</v>
      </c>
      <c r="H510" s="571" t="s">
        <v>982</v>
      </c>
      <c r="I510" s="548" t="s">
        <v>983</v>
      </c>
      <c r="J510" s="548" t="s">
        <v>19</v>
      </c>
      <c r="K510" s="578">
        <v>47097.79</v>
      </c>
      <c r="L510" s="576">
        <v>41.178800000000003</v>
      </c>
      <c r="M510" s="552">
        <f t="shared" si="35"/>
        <v>1143.7387684925252</v>
      </c>
      <c r="N510" s="577">
        <v>60</v>
      </c>
      <c r="O510" s="563">
        <f t="shared" si="36"/>
        <v>784.96316666666667</v>
      </c>
      <c r="P510" s="564">
        <f t="shared" ca="1" si="37"/>
        <v>147</v>
      </c>
      <c r="Q510" s="552">
        <f t="shared" ca="1" si="38"/>
        <v>-68291.795500000007</v>
      </c>
      <c r="R510" s="563">
        <f t="shared" ca="1" si="39"/>
        <v>1</v>
      </c>
      <c r="S510" s="565" t="s">
        <v>925</v>
      </c>
    </row>
    <row r="511" spans="2:19" ht="39.950000000000003" customHeight="1" x14ac:dyDescent="0.25">
      <c r="B511" s="859">
        <v>41425</v>
      </c>
      <c r="C511" s="558" t="s">
        <v>2349</v>
      </c>
      <c r="D511" s="558"/>
      <c r="E511" s="565" t="s">
        <v>926</v>
      </c>
      <c r="F511" s="548" t="s">
        <v>984</v>
      </c>
      <c r="G511" s="565" t="s">
        <v>928</v>
      </c>
      <c r="H511" s="571" t="s">
        <v>985</v>
      </c>
      <c r="I511" s="548" t="s">
        <v>986</v>
      </c>
      <c r="J511" s="548" t="s">
        <v>19</v>
      </c>
      <c r="K511" s="578">
        <v>47097.79</v>
      </c>
      <c r="L511" s="576">
        <v>41.178800000000003</v>
      </c>
      <c r="M511" s="552">
        <f t="shared" si="35"/>
        <v>1143.7387684925252</v>
      </c>
      <c r="N511" s="577">
        <v>60</v>
      </c>
      <c r="O511" s="563">
        <f t="shared" si="36"/>
        <v>784.96316666666667</v>
      </c>
      <c r="P511" s="564">
        <f t="shared" ca="1" si="37"/>
        <v>147</v>
      </c>
      <c r="Q511" s="552">
        <f t="shared" ca="1" si="38"/>
        <v>-68291.795500000007</v>
      </c>
      <c r="R511" s="563">
        <f t="shared" ca="1" si="39"/>
        <v>1</v>
      </c>
      <c r="S511" s="565" t="s">
        <v>925</v>
      </c>
    </row>
    <row r="512" spans="2:19" ht="39.950000000000003" customHeight="1" x14ac:dyDescent="0.25">
      <c r="B512" s="859">
        <v>41425</v>
      </c>
      <c r="C512" s="558" t="s">
        <v>2349</v>
      </c>
      <c r="D512" s="558"/>
      <c r="E512" s="565" t="s">
        <v>926</v>
      </c>
      <c r="F512" s="548" t="s">
        <v>987</v>
      </c>
      <c r="G512" s="565" t="s">
        <v>928</v>
      </c>
      <c r="H512" s="571" t="s">
        <v>988</v>
      </c>
      <c r="I512" s="548" t="s">
        <v>989</v>
      </c>
      <c r="J512" s="548" t="s">
        <v>19</v>
      </c>
      <c r="K512" s="578">
        <v>47097.79</v>
      </c>
      <c r="L512" s="576">
        <v>41.178800000000003</v>
      </c>
      <c r="M512" s="552">
        <f t="shared" si="35"/>
        <v>1143.7387684925252</v>
      </c>
      <c r="N512" s="577">
        <v>60</v>
      </c>
      <c r="O512" s="563">
        <f t="shared" si="36"/>
        <v>784.96316666666667</v>
      </c>
      <c r="P512" s="564">
        <f t="shared" ca="1" si="37"/>
        <v>147</v>
      </c>
      <c r="Q512" s="552">
        <f t="shared" ca="1" si="38"/>
        <v>-68291.795500000007</v>
      </c>
      <c r="R512" s="563">
        <f t="shared" ca="1" si="39"/>
        <v>1</v>
      </c>
      <c r="S512" s="565" t="s">
        <v>925</v>
      </c>
    </row>
    <row r="513" spans="2:19" ht="39.950000000000003" customHeight="1" x14ac:dyDescent="0.25">
      <c r="B513" s="859">
        <v>41425</v>
      </c>
      <c r="C513" s="558" t="s">
        <v>2349</v>
      </c>
      <c r="D513" s="558"/>
      <c r="E513" s="565" t="s">
        <v>926</v>
      </c>
      <c r="F513" s="548" t="s">
        <v>993</v>
      </c>
      <c r="G513" s="565" t="s">
        <v>928</v>
      </c>
      <c r="H513" s="571" t="s">
        <v>994</v>
      </c>
      <c r="I513" s="548" t="s">
        <v>995</v>
      </c>
      <c r="J513" s="548" t="s">
        <v>19</v>
      </c>
      <c r="K513" s="578">
        <v>47097.79</v>
      </c>
      <c r="L513" s="576">
        <v>41.178800000000003</v>
      </c>
      <c r="M513" s="552">
        <f t="shared" si="35"/>
        <v>1143.7387684925252</v>
      </c>
      <c r="N513" s="577">
        <v>60</v>
      </c>
      <c r="O513" s="563">
        <f t="shared" si="36"/>
        <v>784.96316666666667</v>
      </c>
      <c r="P513" s="564">
        <f t="shared" ca="1" si="37"/>
        <v>147</v>
      </c>
      <c r="Q513" s="552">
        <f t="shared" ca="1" si="38"/>
        <v>-68291.795500000007</v>
      </c>
      <c r="R513" s="563">
        <f t="shared" ca="1" si="39"/>
        <v>1</v>
      </c>
      <c r="S513" s="565" t="s">
        <v>925</v>
      </c>
    </row>
    <row r="514" spans="2:19" ht="39.950000000000003" customHeight="1" x14ac:dyDescent="0.25">
      <c r="B514" s="859">
        <v>41425</v>
      </c>
      <c r="C514" s="558" t="s">
        <v>2349</v>
      </c>
      <c r="D514" s="558"/>
      <c r="E514" s="565" t="s">
        <v>926</v>
      </c>
      <c r="F514" s="548" t="s">
        <v>996</v>
      </c>
      <c r="G514" s="565" t="s">
        <v>928</v>
      </c>
      <c r="H514" s="571" t="s">
        <v>997</v>
      </c>
      <c r="I514" s="548" t="s">
        <v>998</v>
      </c>
      <c r="J514" s="548" t="s">
        <v>19</v>
      </c>
      <c r="K514" s="578">
        <v>47097.79</v>
      </c>
      <c r="L514" s="576">
        <v>41.178800000000003</v>
      </c>
      <c r="M514" s="552">
        <f t="shared" si="35"/>
        <v>1143.7387684925252</v>
      </c>
      <c r="N514" s="577">
        <v>60</v>
      </c>
      <c r="O514" s="563">
        <f t="shared" si="36"/>
        <v>784.96316666666667</v>
      </c>
      <c r="P514" s="564">
        <f t="shared" ca="1" si="37"/>
        <v>147</v>
      </c>
      <c r="Q514" s="552">
        <f t="shared" ca="1" si="38"/>
        <v>-68291.795500000007</v>
      </c>
      <c r="R514" s="563">
        <f t="shared" ca="1" si="39"/>
        <v>1</v>
      </c>
      <c r="S514" s="565" t="s">
        <v>925</v>
      </c>
    </row>
    <row r="515" spans="2:19" ht="39.950000000000003" customHeight="1" x14ac:dyDescent="0.25">
      <c r="B515" s="859">
        <v>41425</v>
      </c>
      <c r="C515" s="558" t="s">
        <v>2349</v>
      </c>
      <c r="D515" s="558"/>
      <c r="E515" s="565" t="s">
        <v>926</v>
      </c>
      <c r="F515" s="548" t="s">
        <v>1002</v>
      </c>
      <c r="G515" s="565" t="s">
        <v>928</v>
      </c>
      <c r="H515" s="571" t="s">
        <v>1003</v>
      </c>
      <c r="I515" s="548" t="s">
        <v>1004</v>
      </c>
      <c r="J515" s="548" t="s">
        <v>19</v>
      </c>
      <c r="K515" s="578">
        <v>47097.79</v>
      </c>
      <c r="L515" s="576">
        <v>41.178800000000003</v>
      </c>
      <c r="M515" s="552">
        <f t="shared" si="35"/>
        <v>1143.7387684925252</v>
      </c>
      <c r="N515" s="577">
        <v>60</v>
      </c>
      <c r="O515" s="563">
        <f t="shared" si="36"/>
        <v>784.96316666666667</v>
      </c>
      <c r="P515" s="564">
        <f t="shared" ca="1" si="37"/>
        <v>147</v>
      </c>
      <c r="Q515" s="552">
        <f t="shared" ca="1" si="38"/>
        <v>-68291.795500000007</v>
      </c>
      <c r="R515" s="563">
        <f t="shared" ca="1" si="39"/>
        <v>1</v>
      </c>
      <c r="S515" s="565" t="s">
        <v>925</v>
      </c>
    </row>
    <row r="516" spans="2:19" ht="39.950000000000003" customHeight="1" x14ac:dyDescent="0.25">
      <c r="B516" s="859">
        <v>41425</v>
      </c>
      <c r="C516" s="558" t="s">
        <v>2349</v>
      </c>
      <c r="D516" s="558"/>
      <c r="E516" s="565" t="s">
        <v>926</v>
      </c>
      <c r="F516" s="548" t="s">
        <v>1005</v>
      </c>
      <c r="G516" s="565" t="s">
        <v>928</v>
      </c>
      <c r="H516" s="571" t="s">
        <v>1006</v>
      </c>
      <c r="I516" s="548" t="s">
        <v>1007</v>
      </c>
      <c r="J516" s="548" t="s">
        <v>19</v>
      </c>
      <c r="K516" s="578">
        <v>47097.79</v>
      </c>
      <c r="L516" s="576">
        <v>41.178800000000003</v>
      </c>
      <c r="M516" s="552">
        <f t="shared" si="35"/>
        <v>1143.7387684925252</v>
      </c>
      <c r="N516" s="577">
        <v>60</v>
      </c>
      <c r="O516" s="563">
        <f t="shared" si="36"/>
        <v>784.96316666666667</v>
      </c>
      <c r="P516" s="564">
        <f t="shared" ca="1" si="37"/>
        <v>147</v>
      </c>
      <c r="Q516" s="552">
        <f t="shared" ca="1" si="38"/>
        <v>-68291.795500000007</v>
      </c>
      <c r="R516" s="563">
        <f t="shared" ca="1" si="39"/>
        <v>1</v>
      </c>
      <c r="S516" s="565" t="s">
        <v>925</v>
      </c>
    </row>
    <row r="517" spans="2:19" ht="39.950000000000003" customHeight="1" x14ac:dyDescent="0.25">
      <c r="B517" s="859">
        <v>41425</v>
      </c>
      <c r="C517" s="558" t="s">
        <v>2349</v>
      </c>
      <c r="D517" s="558"/>
      <c r="E517" s="565" t="s">
        <v>926</v>
      </c>
      <c r="F517" s="548" t="s">
        <v>1008</v>
      </c>
      <c r="G517" s="565" t="s">
        <v>928</v>
      </c>
      <c r="H517" s="571" t="s">
        <v>1009</v>
      </c>
      <c r="I517" s="548" t="s">
        <v>1010</v>
      </c>
      <c r="J517" s="548" t="s">
        <v>19</v>
      </c>
      <c r="K517" s="578">
        <v>47097.79</v>
      </c>
      <c r="L517" s="576">
        <v>41.178800000000003</v>
      </c>
      <c r="M517" s="552">
        <f t="shared" si="35"/>
        <v>1143.7387684925252</v>
      </c>
      <c r="N517" s="577">
        <v>60</v>
      </c>
      <c r="O517" s="563">
        <f t="shared" si="36"/>
        <v>784.96316666666667</v>
      </c>
      <c r="P517" s="564">
        <f t="shared" ca="1" si="37"/>
        <v>147</v>
      </c>
      <c r="Q517" s="552">
        <f t="shared" ca="1" si="38"/>
        <v>-68291.795500000007</v>
      </c>
      <c r="R517" s="563">
        <f t="shared" ca="1" si="39"/>
        <v>1</v>
      </c>
      <c r="S517" s="565" t="s">
        <v>925</v>
      </c>
    </row>
    <row r="518" spans="2:19" ht="39.950000000000003" customHeight="1" x14ac:dyDescent="0.25">
      <c r="B518" s="859">
        <v>41425</v>
      </c>
      <c r="C518" s="558" t="s">
        <v>2349</v>
      </c>
      <c r="D518" s="558"/>
      <c r="E518" s="565" t="s">
        <v>926</v>
      </c>
      <c r="F518" s="548" t="s">
        <v>1011</v>
      </c>
      <c r="G518" s="565" t="s">
        <v>928</v>
      </c>
      <c r="H518" s="571" t="s">
        <v>1012</v>
      </c>
      <c r="I518" s="548" t="s">
        <v>1013</v>
      </c>
      <c r="J518" s="548" t="s">
        <v>19</v>
      </c>
      <c r="K518" s="578">
        <v>47097.79</v>
      </c>
      <c r="L518" s="576">
        <v>41.178800000000003</v>
      </c>
      <c r="M518" s="552">
        <f t="shared" si="35"/>
        <v>1143.7387684925252</v>
      </c>
      <c r="N518" s="577">
        <v>60</v>
      </c>
      <c r="O518" s="563">
        <f t="shared" si="36"/>
        <v>784.96316666666667</v>
      </c>
      <c r="P518" s="564">
        <f t="shared" ca="1" si="37"/>
        <v>147</v>
      </c>
      <c r="Q518" s="552">
        <f t="shared" ca="1" si="38"/>
        <v>-68291.795500000007</v>
      </c>
      <c r="R518" s="563">
        <f t="shared" ca="1" si="39"/>
        <v>1</v>
      </c>
      <c r="S518" s="565" t="s">
        <v>925</v>
      </c>
    </row>
    <row r="519" spans="2:19" ht="39.950000000000003" customHeight="1" x14ac:dyDescent="0.25">
      <c r="B519" s="859">
        <v>41425</v>
      </c>
      <c r="C519" s="558" t="s">
        <v>2349</v>
      </c>
      <c r="D519" s="558"/>
      <c r="E519" s="565" t="s">
        <v>926</v>
      </c>
      <c r="F519" s="548" t="s">
        <v>1014</v>
      </c>
      <c r="G519" s="565" t="s">
        <v>928</v>
      </c>
      <c r="H519" s="571" t="s">
        <v>1015</v>
      </c>
      <c r="I519" s="548" t="s">
        <v>1016</v>
      </c>
      <c r="J519" s="548" t="s">
        <v>19</v>
      </c>
      <c r="K519" s="578">
        <v>47097.79</v>
      </c>
      <c r="L519" s="576">
        <v>41.178800000000003</v>
      </c>
      <c r="M519" s="552">
        <f t="shared" si="35"/>
        <v>1143.7387684925252</v>
      </c>
      <c r="N519" s="577">
        <v>60</v>
      </c>
      <c r="O519" s="563">
        <f t="shared" si="36"/>
        <v>784.96316666666667</v>
      </c>
      <c r="P519" s="564">
        <f t="shared" ca="1" si="37"/>
        <v>147</v>
      </c>
      <c r="Q519" s="552">
        <f t="shared" ca="1" si="38"/>
        <v>-68291.795500000007</v>
      </c>
      <c r="R519" s="563">
        <f t="shared" ca="1" si="39"/>
        <v>1</v>
      </c>
      <c r="S519" s="565" t="s">
        <v>925</v>
      </c>
    </row>
    <row r="520" spans="2:19" ht="39.950000000000003" customHeight="1" x14ac:dyDescent="0.25">
      <c r="B520" s="859">
        <v>41425</v>
      </c>
      <c r="C520" s="558" t="s">
        <v>2349</v>
      </c>
      <c r="D520" s="558"/>
      <c r="E520" s="565" t="s">
        <v>926</v>
      </c>
      <c r="F520" s="548" t="s">
        <v>1017</v>
      </c>
      <c r="G520" s="565" t="s">
        <v>928</v>
      </c>
      <c r="H520" s="571" t="s">
        <v>1018</v>
      </c>
      <c r="I520" s="548" t="s">
        <v>1019</v>
      </c>
      <c r="J520" s="548" t="s">
        <v>19</v>
      </c>
      <c r="K520" s="578">
        <v>47097.79</v>
      </c>
      <c r="L520" s="576">
        <v>41.178800000000003</v>
      </c>
      <c r="M520" s="552">
        <f t="shared" ref="M520:M583" si="40">+K520/L520</f>
        <v>1143.7387684925252</v>
      </c>
      <c r="N520" s="577">
        <v>60</v>
      </c>
      <c r="O520" s="563">
        <f t="shared" ref="O520:O583" si="41">IF(AND(K520&lt;&gt;0,N520&lt;&gt;0),K520/N520,0)</f>
        <v>784.96316666666667</v>
      </c>
      <c r="P520" s="564">
        <f t="shared" ref="P520:P583" ca="1" si="42">IF(B520&lt;&gt;0,(ROUND((NOW()-B520)/30,0)),0)</f>
        <v>147</v>
      </c>
      <c r="Q520" s="552">
        <f t="shared" ref="Q520:Q583" ca="1" si="43">IF(OR(K520=0,N520=0,P520=0),0,K520-(O520*P520))</f>
        <v>-68291.795500000007</v>
      </c>
      <c r="R520" s="563">
        <f t="shared" ref="R520:R583" ca="1" si="44">IF(Q520&lt;1,1,Q520)</f>
        <v>1</v>
      </c>
      <c r="S520" s="565" t="s">
        <v>925</v>
      </c>
    </row>
    <row r="521" spans="2:19" ht="39.950000000000003" customHeight="1" x14ac:dyDescent="0.25">
      <c r="B521" s="859">
        <v>41425</v>
      </c>
      <c r="C521" s="558" t="s">
        <v>2349</v>
      </c>
      <c r="D521" s="558"/>
      <c r="E521" s="565" t="s">
        <v>926</v>
      </c>
      <c r="F521" s="548" t="s">
        <v>1020</v>
      </c>
      <c r="G521" s="565" t="s">
        <v>928</v>
      </c>
      <c r="H521" s="571" t="s">
        <v>1021</v>
      </c>
      <c r="I521" s="548" t="s">
        <v>1022</v>
      </c>
      <c r="J521" s="548" t="s">
        <v>19</v>
      </c>
      <c r="K521" s="578">
        <v>47097.79</v>
      </c>
      <c r="L521" s="576">
        <v>41.178800000000003</v>
      </c>
      <c r="M521" s="552">
        <f t="shared" si="40"/>
        <v>1143.7387684925252</v>
      </c>
      <c r="N521" s="577">
        <v>60</v>
      </c>
      <c r="O521" s="563">
        <f t="shared" si="41"/>
        <v>784.96316666666667</v>
      </c>
      <c r="P521" s="564">
        <f t="shared" ca="1" si="42"/>
        <v>147</v>
      </c>
      <c r="Q521" s="552">
        <f t="shared" ca="1" si="43"/>
        <v>-68291.795500000007</v>
      </c>
      <c r="R521" s="563">
        <f t="shared" ca="1" si="44"/>
        <v>1</v>
      </c>
      <c r="S521" s="565" t="s">
        <v>925</v>
      </c>
    </row>
    <row r="522" spans="2:19" ht="39.950000000000003" customHeight="1" x14ac:dyDescent="0.25">
      <c r="B522" s="859">
        <v>41425</v>
      </c>
      <c r="C522" s="558" t="s">
        <v>2349</v>
      </c>
      <c r="D522" s="558"/>
      <c r="E522" s="565" t="s">
        <v>926</v>
      </c>
      <c r="F522" s="548" t="s">
        <v>1023</v>
      </c>
      <c r="G522" s="565" t="s">
        <v>928</v>
      </c>
      <c r="H522" s="571" t="s">
        <v>1024</v>
      </c>
      <c r="I522" s="548" t="s">
        <v>1022</v>
      </c>
      <c r="J522" s="548" t="s">
        <v>19</v>
      </c>
      <c r="K522" s="578">
        <v>47097.79</v>
      </c>
      <c r="L522" s="576">
        <v>41.178800000000003</v>
      </c>
      <c r="M522" s="552">
        <f t="shared" si="40"/>
        <v>1143.7387684925252</v>
      </c>
      <c r="N522" s="577">
        <v>60</v>
      </c>
      <c r="O522" s="563">
        <f t="shared" si="41"/>
        <v>784.96316666666667</v>
      </c>
      <c r="P522" s="564">
        <f t="shared" ca="1" si="42"/>
        <v>147</v>
      </c>
      <c r="Q522" s="552">
        <f t="shared" ca="1" si="43"/>
        <v>-68291.795500000007</v>
      </c>
      <c r="R522" s="563">
        <f t="shared" ca="1" si="44"/>
        <v>1</v>
      </c>
      <c r="S522" s="565" t="s">
        <v>925</v>
      </c>
    </row>
    <row r="523" spans="2:19" ht="39.950000000000003" customHeight="1" x14ac:dyDescent="0.25">
      <c r="B523" s="859">
        <v>41425</v>
      </c>
      <c r="C523" s="558" t="s">
        <v>2349</v>
      </c>
      <c r="D523" s="558"/>
      <c r="E523" s="565" t="s">
        <v>926</v>
      </c>
      <c r="F523" s="548" t="s">
        <v>1029</v>
      </c>
      <c r="G523" s="565" t="s">
        <v>928</v>
      </c>
      <c r="H523" s="571" t="s">
        <v>1030</v>
      </c>
      <c r="I523" s="548" t="s">
        <v>1031</v>
      </c>
      <c r="J523" s="548" t="s">
        <v>19</v>
      </c>
      <c r="K523" s="578">
        <v>47097.79</v>
      </c>
      <c r="L523" s="576">
        <v>41.178800000000003</v>
      </c>
      <c r="M523" s="552">
        <f t="shared" si="40"/>
        <v>1143.7387684925252</v>
      </c>
      <c r="N523" s="577">
        <v>60</v>
      </c>
      <c r="O523" s="563">
        <f t="shared" si="41"/>
        <v>784.96316666666667</v>
      </c>
      <c r="P523" s="564">
        <f t="shared" ca="1" si="42"/>
        <v>147</v>
      </c>
      <c r="Q523" s="552">
        <f t="shared" ca="1" si="43"/>
        <v>-68291.795500000007</v>
      </c>
      <c r="R523" s="563">
        <f t="shared" ca="1" si="44"/>
        <v>1</v>
      </c>
      <c r="S523" s="565" t="s">
        <v>925</v>
      </c>
    </row>
    <row r="524" spans="2:19" ht="39.950000000000003" customHeight="1" x14ac:dyDescent="0.25">
      <c r="B524" s="859">
        <v>41425</v>
      </c>
      <c r="C524" s="558" t="s">
        <v>2349</v>
      </c>
      <c r="D524" s="558"/>
      <c r="E524" s="565" t="s">
        <v>926</v>
      </c>
      <c r="F524" s="548" t="s">
        <v>1032</v>
      </c>
      <c r="G524" s="565" t="s">
        <v>928</v>
      </c>
      <c r="H524" s="571" t="s">
        <v>1033</v>
      </c>
      <c r="I524" s="548" t="s">
        <v>1034</v>
      </c>
      <c r="J524" s="548" t="s">
        <v>19</v>
      </c>
      <c r="K524" s="578">
        <v>47097.79</v>
      </c>
      <c r="L524" s="576">
        <v>41.178800000000003</v>
      </c>
      <c r="M524" s="552">
        <f t="shared" si="40"/>
        <v>1143.7387684925252</v>
      </c>
      <c r="N524" s="577">
        <v>60</v>
      </c>
      <c r="O524" s="563">
        <f t="shared" si="41"/>
        <v>784.96316666666667</v>
      </c>
      <c r="P524" s="564">
        <f t="shared" ca="1" si="42"/>
        <v>147</v>
      </c>
      <c r="Q524" s="552">
        <f t="shared" ca="1" si="43"/>
        <v>-68291.795500000007</v>
      </c>
      <c r="R524" s="563">
        <f t="shared" ca="1" si="44"/>
        <v>1</v>
      </c>
      <c r="S524" s="565" t="s">
        <v>925</v>
      </c>
    </row>
    <row r="525" spans="2:19" ht="39.950000000000003" customHeight="1" x14ac:dyDescent="0.25">
      <c r="B525" s="859">
        <v>41425</v>
      </c>
      <c r="C525" s="558" t="s">
        <v>2349</v>
      </c>
      <c r="D525" s="558"/>
      <c r="E525" s="565" t="s">
        <v>926</v>
      </c>
      <c r="F525" s="548" t="s">
        <v>1035</v>
      </c>
      <c r="G525" s="565" t="s">
        <v>928</v>
      </c>
      <c r="H525" s="571" t="s">
        <v>1036</v>
      </c>
      <c r="I525" s="548" t="s">
        <v>1037</v>
      </c>
      <c r="J525" s="548" t="s">
        <v>19</v>
      </c>
      <c r="K525" s="578">
        <v>47097.79</v>
      </c>
      <c r="L525" s="576">
        <v>41.178800000000003</v>
      </c>
      <c r="M525" s="552">
        <f t="shared" si="40"/>
        <v>1143.7387684925252</v>
      </c>
      <c r="N525" s="577">
        <v>60</v>
      </c>
      <c r="O525" s="563">
        <f t="shared" si="41"/>
        <v>784.96316666666667</v>
      </c>
      <c r="P525" s="564">
        <f t="shared" ca="1" si="42"/>
        <v>147</v>
      </c>
      <c r="Q525" s="552">
        <f t="shared" ca="1" si="43"/>
        <v>-68291.795500000007</v>
      </c>
      <c r="R525" s="563">
        <f t="shared" ca="1" si="44"/>
        <v>1</v>
      </c>
      <c r="S525" s="565" t="s">
        <v>925</v>
      </c>
    </row>
    <row r="526" spans="2:19" ht="39.950000000000003" customHeight="1" x14ac:dyDescent="0.25">
      <c r="B526" s="859">
        <v>41425</v>
      </c>
      <c r="C526" s="558" t="s">
        <v>2349</v>
      </c>
      <c r="D526" s="558"/>
      <c r="E526" s="565" t="s">
        <v>926</v>
      </c>
      <c r="F526" s="548" t="s">
        <v>1041</v>
      </c>
      <c r="G526" s="565" t="s">
        <v>928</v>
      </c>
      <c r="H526" s="571" t="s">
        <v>1042</v>
      </c>
      <c r="I526" s="548" t="s">
        <v>1043</v>
      </c>
      <c r="J526" s="548" t="s">
        <v>19</v>
      </c>
      <c r="K526" s="578">
        <v>47097.79</v>
      </c>
      <c r="L526" s="576">
        <v>41.178800000000003</v>
      </c>
      <c r="M526" s="552">
        <f t="shared" si="40"/>
        <v>1143.7387684925252</v>
      </c>
      <c r="N526" s="577">
        <v>60</v>
      </c>
      <c r="O526" s="563">
        <f t="shared" si="41"/>
        <v>784.96316666666667</v>
      </c>
      <c r="P526" s="564">
        <f t="shared" ca="1" si="42"/>
        <v>147</v>
      </c>
      <c r="Q526" s="552">
        <f t="shared" ca="1" si="43"/>
        <v>-68291.795500000007</v>
      </c>
      <c r="R526" s="563">
        <f t="shared" ca="1" si="44"/>
        <v>1</v>
      </c>
      <c r="S526" s="565" t="s">
        <v>925</v>
      </c>
    </row>
    <row r="527" spans="2:19" ht="39.950000000000003" customHeight="1" x14ac:dyDescent="0.25">
      <c r="B527" s="859">
        <v>41443</v>
      </c>
      <c r="C527" s="558" t="s">
        <v>2349</v>
      </c>
      <c r="D527" s="558"/>
      <c r="E527" s="565" t="s">
        <v>1044</v>
      </c>
      <c r="F527" s="548" t="s">
        <v>1045</v>
      </c>
      <c r="G527" s="565" t="s">
        <v>1046</v>
      </c>
      <c r="H527" s="571" t="s">
        <v>1047</v>
      </c>
      <c r="I527" s="548" t="s">
        <v>23</v>
      </c>
      <c r="J527" s="548" t="s">
        <v>676</v>
      </c>
      <c r="K527" s="578">
        <v>29287</v>
      </c>
      <c r="L527" s="576">
        <v>41.52</v>
      </c>
      <c r="M527" s="552">
        <f t="shared" si="40"/>
        <v>705.37090558766852</v>
      </c>
      <c r="N527" s="577">
        <v>60</v>
      </c>
      <c r="O527" s="563">
        <f t="shared" si="41"/>
        <v>488.11666666666667</v>
      </c>
      <c r="P527" s="564">
        <f t="shared" ca="1" si="42"/>
        <v>147</v>
      </c>
      <c r="Q527" s="552">
        <f t="shared" ca="1" si="43"/>
        <v>-42466.149999999994</v>
      </c>
      <c r="R527" s="563">
        <f t="shared" ca="1" si="44"/>
        <v>1</v>
      </c>
      <c r="S527" s="565" t="s">
        <v>777</v>
      </c>
    </row>
    <row r="528" spans="2:19" ht="39.950000000000003" customHeight="1" x14ac:dyDescent="0.25">
      <c r="B528" s="859">
        <v>41450</v>
      </c>
      <c r="C528" s="558" t="s">
        <v>2349</v>
      </c>
      <c r="D528" s="558"/>
      <c r="E528" s="565" t="s">
        <v>1048</v>
      </c>
      <c r="F528" s="548" t="s">
        <v>1061</v>
      </c>
      <c r="G528" s="565" t="s">
        <v>1062</v>
      </c>
      <c r="H528" s="571" t="s">
        <v>1063</v>
      </c>
      <c r="I528" s="548" t="s">
        <v>1064</v>
      </c>
      <c r="J528" s="548" t="s">
        <v>19</v>
      </c>
      <c r="K528" s="578">
        <v>57907.62</v>
      </c>
      <c r="L528" s="576">
        <v>41.59</v>
      </c>
      <c r="M528" s="552">
        <f t="shared" si="40"/>
        <v>1392.344794421736</v>
      </c>
      <c r="N528" s="577">
        <v>60</v>
      </c>
      <c r="O528" s="563">
        <f t="shared" si="41"/>
        <v>965.12700000000007</v>
      </c>
      <c r="P528" s="564">
        <f t="shared" ca="1" si="42"/>
        <v>147</v>
      </c>
      <c r="Q528" s="552">
        <f t="shared" ca="1" si="43"/>
        <v>-83966.049000000028</v>
      </c>
      <c r="R528" s="563">
        <f t="shared" ca="1" si="44"/>
        <v>1</v>
      </c>
      <c r="S528" s="565" t="s">
        <v>925</v>
      </c>
    </row>
    <row r="529" spans="2:19" ht="39.950000000000003" customHeight="1" x14ac:dyDescent="0.25">
      <c r="B529" s="859">
        <v>41450</v>
      </c>
      <c r="C529" s="558" t="s">
        <v>2349</v>
      </c>
      <c r="D529" s="558"/>
      <c r="E529" s="565" t="s">
        <v>1048</v>
      </c>
      <c r="F529" s="548" t="s">
        <v>1067</v>
      </c>
      <c r="G529" s="565" t="s">
        <v>1062</v>
      </c>
      <c r="H529" s="571" t="s">
        <v>1068</v>
      </c>
      <c r="I529" s="548" t="s">
        <v>1069</v>
      </c>
      <c r="J529" s="548" t="s">
        <v>19</v>
      </c>
      <c r="K529" s="578">
        <v>57907.62</v>
      </c>
      <c r="L529" s="576">
        <v>41.59</v>
      </c>
      <c r="M529" s="552">
        <f t="shared" si="40"/>
        <v>1392.344794421736</v>
      </c>
      <c r="N529" s="577">
        <v>60</v>
      </c>
      <c r="O529" s="563">
        <f t="shared" si="41"/>
        <v>965.12700000000007</v>
      </c>
      <c r="P529" s="564">
        <f t="shared" ca="1" si="42"/>
        <v>147</v>
      </c>
      <c r="Q529" s="552">
        <f t="shared" ca="1" si="43"/>
        <v>-83966.049000000028</v>
      </c>
      <c r="R529" s="563">
        <f t="shared" ca="1" si="44"/>
        <v>1</v>
      </c>
      <c r="S529" s="565" t="s">
        <v>925</v>
      </c>
    </row>
    <row r="530" spans="2:19" ht="39.950000000000003" customHeight="1" x14ac:dyDescent="0.25">
      <c r="B530" s="859">
        <v>41450</v>
      </c>
      <c r="C530" s="558" t="s">
        <v>2349</v>
      </c>
      <c r="D530" s="558"/>
      <c r="E530" s="565" t="s">
        <v>1048</v>
      </c>
      <c r="F530" s="548" t="s">
        <v>1082</v>
      </c>
      <c r="G530" s="565" t="s">
        <v>1062</v>
      </c>
      <c r="H530" s="571" t="s">
        <v>1083</v>
      </c>
      <c r="I530" s="548" t="s">
        <v>1084</v>
      </c>
      <c r="J530" s="548" t="s">
        <v>19</v>
      </c>
      <c r="K530" s="578">
        <v>57907.62</v>
      </c>
      <c r="L530" s="576">
        <v>41.59</v>
      </c>
      <c r="M530" s="552">
        <f t="shared" si="40"/>
        <v>1392.344794421736</v>
      </c>
      <c r="N530" s="577">
        <v>60</v>
      </c>
      <c r="O530" s="563">
        <f t="shared" si="41"/>
        <v>965.12700000000007</v>
      </c>
      <c r="P530" s="564">
        <f t="shared" ca="1" si="42"/>
        <v>147</v>
      </c>
      <c r="Q530" s="552">
        <f t="shared" ca="1" si="43"/>
        <v>-83966.049000000028</v>
      </c>
      <c r="R530" s="563">
        <f t="shared" ca="1" si="44"/>
        <v>1</v>
      </c>
      <c r="S530" s="565" t="s">
        <v>925</v>
      </c>
    </row>
    <row r="531" spans="2:19" ht="39.950000000000003" customHeight="1" x14ac:dyDescent="0.25">
      <c r="B531" s="859">
        <v>41450</v>
      </c>
      <c r="C531" s="558" t="s">
        <v>2349</v>
      </c>
      <c r="D531" s="558"/>
      <c r="E531" s="565" t="s">
        <v>1048</v>
      </c>
      <c r="F531" s="548" t="s">
        <v>1085</v>
      </c>
      <c r="G531" s="565" t="s">
        <v>1062</v>
      </c>
      <c r="H531" s="571" t="s">
        <v>1086</v>
      </c>
      <c r="I531" s="548" t="s">
        <v>1087</v>
      </c>
      <c r="J531" s="548" t="s">
        <v>19</v>
      </c>
      <c r="K531" s="578">
        <v>57907.62</v>
      </c>
      <c r="L531" s="576">
        <v>41.59</v>
      </c>
      <c r="M531" s="552">
        <f t="shared" si="40"/>
        <v>1392.344794421736</v>
      </c>
      <c r="N531" s="577">
        <v>60</v>
      </c>
      <c r="O531" s="563">
        <f t="shared" si="41"/>
        <v>965.12700000000007</v>
      </c>
      <c r="P531" s="564">
        <f t="shared" ca="1" si="42"/>
        <v>147</v>
      </c>
      <c r="Q531" s="552">
        <f t="shared" ca="1" si="43"/>
        <v>-83966.049000000028</v>
      </c>
      <c r="R531" s="563">
        <f t="shared" ca="1" si="44"/>
        <v>1</v>
      </c>
      <c r="S531" s="565" t="s">
        <v>925</v>
      </c>
    </row>
    <row r="532" spans="2:19" ht="39.950000000000003" customHeight="1" x14ac:dyDescent="0.25">
      <c r="B532" s="859">
        <v>41450</v>
      </c>
      <c r="C532" s="558" t="s">
        <v>2349</v>
      </c>
      <c r="D532" s="558"/>
      <c r="E532" s="565" t="s">
        <v>1048</v>
      </c>
      <c r="F532" s="548" t="s">
        <v>1088</v>
      </c>
      <c r="G532" s="565" t="s">
        <v>1062</v>
      </c>
      <c r="H532" s="571" t="s">
        <v>1089</v>
      </c>
      <c r="I532" s="548" t="s">
        <v>1090</v>
      </c>
      <c r="J532" s="548" t="s">
        <v>19</v>
      </c>
      <c r="K532" s="578">
        <v>57907.62</v>
      </c>
      <c r="L532" s="576">
        <v>41.59</v>
      </c>
      <c r="M532" s="552">
        <f t="shared" si="40"/>
        <v>1392.344794421736</v>
      </c>
      <c r="N532" s="577">
        <v>60</v>
      </c>
      <c r="O532" s="563">
        <f t="shared" si="41"/>
        <v>965.12700000000007</v>
      </c>
      <c r="P532" s="564">
        <f t="shared" ca="1" si="42"/>
        <v>147</v>
      </c>
      <c r="Q532" s="552">
        <f t="shared" ca="1" si="43"/>
        <v>-83966.049000000028</v>
      </c>
      <c r="R532" s="563">
        <f t="shared" ca="1" si="44"/>
        <v>1</v>
      </c>
      <c r="S532" s="565" t="s">
        <v>925</v>
      </c>
    </row>
    <row r="533" spans="2:19" ht="39.950000000000003" customHeight="1" x14ac:dyDescent="0.25">
      <c r="B533" s="859">
        <v>41450</v>
      </c>
      <c r="C533" s="558" t="s">
        <v>2349</v>
      </c>
      <c r="D533" s="558"/>
      <c r="E533" s="565" t="s">
        <v>1048</v>
      </c>
      <c r="F533" s="548" t="s">
        <v>1049</v>
      </c>
      <c r="G533" s="565" t="s">
        <v>1050</v>
      </c>
      <c r="H533" s="571" t="s">
        <v>1051</v>
      </c>
      <c r="I533" s="548" t="s">
        <v>1052</v>
      </c>
      <c r="J533" s="548" t="s">
        <v>19</v>
      </c>
      <c r="K533" s="578">
        <v>18159.240000000002</v>
      </c>
      <c r="L533" s="576">
        <v>41.59</v>
      </c>
      <c r="M533" s="552">
        <f t="shared" si="40"/>
        <v>436.6251502765088</v>
      </c>
      <c r="N533" s="577">
        <v>60</v>
      </c>
      <c r="O533" s="563">
        <f t="shared" si="41"/>
        <v>302.65400000000005</v>
      </c>
      <c r="P533" s="564">
        <f t="shared" ca="1" si="42"/>
        <v>147</v>
      </c>
      <c r="Q533" s="552">
        <f t="shared" ca="1" si="43"/>
        <v>-26330.898000000005</v>
      </c>
      <c r="R533" s="563">
        <f t="shared" ca="1" si="44"/>
        <v>1</v>
      </c>
      <c r="S533" s="565" t="s">
        <v>925</v>
      </c>
    </row>
    <row r="534" spans="2:19" ht="39.950000000000003" customHeight="1" x14ac:dyDescent="0.25">
      <c r="B534" s="859">
        <v>41450</v>
      </c>
      <c r="C534" s="558" t="s">
        <v>2349</v>
      </c>
      <c r="D534" s="558"/>
      <c r="E534" s="565" t="s">
        <v>1048</v>
      </c>
      <c r="F534" s="548" t="s">
        <v>1053</v>
      </c>
      <c r="G534" s="565" t="s">
        <v>1050</v>
      </c>
      <c r="H534" s="571" t="s">
        <v>1054</v>
      </c>
      <c r="I534" s="548" t="s">
        <v>1055</v>
      </c>
      <c r="J534" s="548" t="s">
        <v>19</v>
      </c>
      <c r="K534" s="578">
        <v>18159.240000000002</v>
      </c>
      <c r="L534" s="576">
        <v>41.59</v>
      </c>
      <c r="M534" s="552">
        <f t="shared" si="40"/>
        <v>436.6251502765088</v>
      </c>
      <c r="N534" s="577">
        <v>60</v>
      </c>
      <c r="O534" s="563">
        <f t="shared" si="41"/>
        <v>302.65400000000005</v>
      </c>
      <c r="P534" s="564">
        <f t="shared" ca="1" si="42"/>
        <v>147</v>
      </c>
      <c r="Q534" s="552">
        <f t="shared" ca="1" si="43"/>
        <v>-26330.898000000005</v>
      </c>
      <c r="R534" s="563">
        <f t="shared" ca="1" si="44"/>
        <v>1</v>
      </c>
      <c r="S534" s="565" t="s">
        <v>925</v>
      </c>
    </row>
    <row r="535" spans="2:19" ht="48.75" customHeight="1" x14ac:dyDescent="0.25">
      <c r="B535" s="859">
        <v>41450</v>
      </c>
      <c r="C535" s="558" t="s">
        <v>2349</v>
      </c>
      <c r="D535" s="558"/>
      <c r="E535" s="565" t="s">
        <v>1048</v>
      </c>
      <c r="F535" s="548" t="s">
        <v>1056</v>
      </c>
      <c r="G535" s="565" t="s">
        <v>1050</v>
      </c>
      <c r="H535" s="571" t="s">
        <v>1057</v>
      </c>
      <c r="I535" s="548" t="s">
        <v>1058</v>
      </c>
      <c r="J535" s="548" t="s">
        <v>19</v>
      </c>
      <c r="K535" s="578">
        <v>18159.240000000002</v>
      </c>
      <c r="L535" s="576">
        <v>41.59</v>
      </c>
      <c r="M535" s="552">
        <f t="shared" si="40"/>
        <v>436.6251502765088</v>
      </c>
      <c r="N535" s="577">
        <v>60</v>
      </c>
      <c r="O535" s="563">
        <f t="shared" si="41"/>
        <v>302.65400000000005</v>
      </c>
      <c r="P535" s="564">
        <f t="shared" ca="1" si="42"/>
        <v>147</v>
      </c>
      <c r="Q535" s="552">
        <f t="shared" ca="1" si="43"/>
        <v>-26330.898000000005</v>
      </c>
      <c r="R535" s="563">
        <f t="shared" ca="1" si="44"/>
        <v>1</v>
      </c>
      <c r="S535" s="565" t="s">
        <v>925</v>
      </c>
    </row>
    <row r="536" spans="2:19" ht="39.950000000000003" customHeight="1" x14ac:dyDescent="0.25">
      <c r="B536" s="859">
        <v>41450</v>
      </c>
      <c r="C536" s="558" t="s">
        <v>2349</v>
      </c>
      <c r="D536" s="558"/>
      <c r="E536" s="565" t="s">
        <v>1048</v>
      </c>
      <c r="F536" s="548" t="s">
        <v>1059</v>
      </c>
      <c r="G536" s="565" t="s">
        <v>1050</v>
      </c>
      <c r="H536" s="571" t="s">
        <v>1060</v>
      </c>
      <c r="I536" s="548" t="s">
        <v>764</v>
      </c>
      <c r="J536" s="548" t="s">
        <v>19</v>
      </c>
      <c r="K536" s="578">
        <v>18159.240000000002</v>
      </c>
      <c r="L536" s="576">
        <v>41.59</v>
      </c>
      <c r="M536" s="552">
        <f t="shared" si="40"/>
        <v>436.6251502765088</v>
      </c>
      <c r="N536" s="577">
        <v>60</v>
      </c>
      <c r="O536" s="563">
        <f t="shared" si="41"/>
        <v>302.65400000000005</v>
      </c>
      <c r="P536" s="564">
        <f t="shared" ca="1" si="42"/>
        <v>147</v>
      </c>
      <c r="Q536" s="552">
        <f t="shared" ca="1" si="43"/>
        <v>-26330.898000000005</v>
      </c>
      <c r="R536" s="563">
        <f t="shared" ca="1" si="44"/>
        <v>1</v>
      </c>
      <c r="S536" s="565" t="s">
        <v>925</v>
      </c>
    </row>
    <row r="537" spans="2:19" ht="39.950000000000003" customHeight="1" x14ac:dyDescent="0.25">
      <c r="B537" s="859">
        <v>41450</v>
      </c>
      <c r="C537" s="558" t="s">
        <v>2349</v>
      </c>
      <c r="D537" s="558"/>
      <c r="E537" s="565" t="s">
        <v>1048</v>
      </c>
      <c r="F537" s="548" t="s">
        <v>1065</v>
      </c>
      <c r="G537" s="565" t="s">
        <v>1050</v>
      </c>
      <c r="H537" s="571" t="s">
        <v>1066</v>
      </c>
      <c r="I537" s="548" t="s">
        <v>21</v>
      </c>
      <c r="J537" s="548" t="s">
        <v>19</v>
      </c>
      <c r="K537" s="578">
        <v>18159.240000000002</v>
      </c>
      <c r="L537" s="576">
        <v>41.59</v>
      </c>
      <c r="M537" s="552">
        <f t="shared" si="40"/>
        <v>436.6251502765088</v>
      </c>
      <c r="N537" s="577">
        <v>60</v>
      </c>
      <c r="O537" s="563">
        <f t="shared" si="41"/>
        <v>302.65400000000005</v>
      </c>
      <c r="P537" s="564">
        <f t="shared" ca="1" si="42"/>
        <v>147</v>
      </c>
      <c r="Q537" s="552">
        <f t="shared" ca="1" si="43"/>
        <v>-26330.898000000005</v>
      </c>
      <c r="R537" s="563">
        <f t="shared" ca="1" si="44"/>
        <v>1</v>
      </c>
      <c r="S537" s="565" t="s">
        <v>925</v>
      </c>
    </row>
    <row r="538" spans="2:19" ht="39.950000000000003" customHeight="1" x14ac:dyDescent="0.25">
      <c r="B538" s="859">
        <v>41450</v>
      </c>
      <c r="C538" s="558" t="s">
        <v>2349</v>
      </c>
      <c r="D538" s="558"/>
      <c r="E538" s="565" t="s">
        <v>1048</v>
      </c>
      <c r="F538" s="548" t="s">
        <v>1070</v>
      </c>
      <c r="G538" s="565" t="s">
        <v>1050</v>
      </c>
      <c r="H538" s="571" t="s">
        <v>1071</v>
      </c>
      <c r="I538" s="548" t="s">
        <v>1072</v>
      </c>
      <c r="J538" s="548" t="s">
        <v>19</v>
      </c>
      <c r="K538" s="578">
        <v>18159.240000000002</v>
      </c>
      <c r="L538" s="576">
        <v>41.59</v>
      </c>
      <c r="M538" s="552">
        <f t="shared" si="40"/>
        <v>436.6251502765088</v>
      </c>
      <c r="N538" s="577">
        <v>60</v>
      </c>
      <c r="O538" s="563">
        <f t="shared" si="41"/>
        <v>302.65400000000005</v>
      </c>
      <c r="P538" s="564">
        <f t="shared" ca="1" si="42"/>
        <v>147</v>
      </c>
      <c r="Q538" s="552">
        <f t="shared" ca="1" si="43"/>
        <v>-26330.898000000005</v>
      </c>
      <c r="R538" s="563">
        <f t="shared" ca="1" si="44"/>
        <v>1</v>
      </c>
      <c r="S538" s="565" t="s">
        <v>925</v>
      </c>
    </row>
    <row r="539" spans="2:19" ht="39.950000000000003" customHeight="1" x14ac:dyDescent="0.25">
      <c r="B539" s="859">
        <v>41450</v>
      </c>
      <c r="C539" s="558" t="s">
        <v>2349</v>
      </c>
      <c r="D539" s="558"/>
      <c r="E539" s="565" t="s">
        <v>1048</v>
      </c>
      <c r="F539" s="548" t="s">
        <v>1073</v>
      </c>
      <c r="G539" s="565" t="s">
        <v>1050</v>
      </c>
      <c r="H539" s="571" t="s">
        <v>1074</v>
      </c>
      <c r="I539" s="548" t="s">
        <v>1075</v>
      </c>
      <c r="J539" s="548" t="s">
        <v>19</v>
      </c>
      <c r="K539" s="578">
        <v>18159.240000000002</v>
      </c>
      <c r="L539" s="576">
        <v>41.59</v>
      </c>
      <c r="M539" s="552">
        <f t="shared" si="40"/>
        <v>436.6251502765088</v>
      </c>
      <c r="N539" s="577">
        <v>60</v>
      </c>
      <c r="O539" s="563">
        <f t="shared" si="41"/>
        <v>302.65400000000005</v>
      </c>
      <c r="P539" s="564">
        <f t="shared" ca="1" si="42"/>
        <v>147</v>
      </c>
      <c r="Q539" s="552">
        <f t="shared" ca="1" si="43"/>
        <v>-26330.898000000005</v>
      </c>
      <c r="R539" s="563">
        <f t="shared" ca="1" si="44"/>
        <v>1</v>
      </c>
      <c r="S539" s="565" t="s">
        <v>925</v>
      </c>
    </row>
    <row r="540" spans="2:19" ht="53.25" customHeight="1" x14ac:dyDescent="0.25">
      <c r="B540" s="859">
        <v>41450</v>
      </c>
      <c r="C540" s="558" t="s">
        <v>2349</v>
      </c>
      <c r="D540" s="558"/>
      <c r="E540" s="565" t="s">
        <v>1048</v>
      </c>
      <c r="F540" s="548" t="s">
        <v>1076</v>
      </c>
      <c r="G540" s="565" t="s">
        <v>1050</v>
      </c>
      <c r="H540" s="571" t="s">
        <v>1077</v>
      </c>
      <c r="I540" s="548" t="s">
        <v>1078</v>
      </c>
      <c r="J540" s="548" t="s">
        <v>19</v>
      </c>
      <c r="K540" s="578">
        <v>18159.240000000002</v>
      </c>
      <c r="L540" s="576">
        <v>41.59</v>
      </c>
      <c r="M540" s="552">
        <f t="shared" si="40"/>
        <v>436.6251502765088</v>
      </c>
      <c r="N540" s="577">
        <v>60</v>
      </c>
      <c r="O540" s="563">
        <f t="shared" si="41"/>
        <v>302.65400000000005</v>
      </c>
      <c r="P540" s="564">
        <f t="shared" ca="1" si="42"/>
        <v>147</v>
      </c>
      <c r="Q540" s="552">
        <f t="shared" ca="1" si="43"/>
        <v>-26330.898000000005</v>
      </c>
      <c r="R540" s="563">
        <f t="shared" ca="1" si="44"/>
        <v>1</v>
      </c>
      <c r="S540" s="565" t="s">
        <v>925</v>
      </c>
    </row>
    <row r="541" spans="2:19" ht="39.950000000000003" customHeight="1" x14ac:dyDescent="0.25">
      <c r="B541" s="859">
        <v>41450</v>
      </c>
      <c r="C541" s="558" t="s">
        <v>2349</v>
      </c>
      <c r="D541" s="558"/>
      <c r="E541" s="565" t="s">
        <v>1048</v>
      </c>
      <c r="F541" s="548" t="s">
        <v>1079</v>
      </c>
      <c r="G541" s="565" t="s">
        <v>1050</v>
      </c>
      <c r="H541" s="571" t="s">
        <v>1080</v>
      </c>
      <c r="I541" s="548" t="s">
        <v>1081</v>
      </c>
      <c r="J541" s="548" t="s">
        <v>19</v>
      </c>
      <c r="K541" s="578">
        <v>18159.240000000002</v>
      </c>
      <c r="L541" s="576">
        <v>41.59</v>
      </c>
      <c r="M541" s="552">
        <f t="shared" si="40"/>
        <v>436.6251502765088</v>
      </c>
      <c r="N541" s="577">
        <v>60</v>
      </c>
      <c r="O541" s="563">
        <f t="shared" si="41"/>
        <v>302.65400000000005</v>
      </c>
      <c r="P541" s="564">
        <f t="shared" ca="1" si="42"/>
        <v>147</v>
      </c>
      <c r="Q541" s="552">
        <f t="shared" ca="1" si="43"/>
        <v>-26330.898000000005</v>
      </c>
      <c r="R541" s="563">
        <f t="shared" ca="1" si="44"/>
        <v>1</v>
      </c>
      <c r="S541" s="565" t="s">
        <v>925</v>
      </c>
    </row>
    <row r="542" spans="2:19" ht="39.950000000000003" customHeight="1" x14ac:dyDescent="0.25">
      <c r="B542" s="859">
        <v>41453</v>
      </c>
      <c r="C542" s="558" t="s">
        <v>2349</v>
      </c>
      <c r="D542" s="558"/>
      <c r="E542" s="565" t="s">
        <v>1048</v>
      </c>
      <c r="F542" s="548" t="s">
        <v>1092</v>
      </c>
      <c r="G542" s="559" t="s">
        <v>913</v>
      </c>
      <c r="H542" s="548" t="s">
        <v>28</v>
      </c>
      <c r="I542" s="548" t="s">
        <v>23</v>
      </c>
      <c r="J542" s="548" t="s">
        <v>737</v>
      </c>
      <c r="K542" s="576">
        <v>3360</v>
      </c>
      <c r="L542" s="576">
        <v>41.59</v>
      </c>
      <c r="M542" s="552">
        <f t="shared" si="40"/>
        <v>80.788651118057217</v>
      </c>
      <c r="N542" s="577">
        <v>60</v>
      </c>
      <c r="O542" s="563">
        <f t="shared" si="41"/>
        <v>56</v>
      </c>
      <c r="P542" s="564">
        <f t="shared" ca="1" si="42"/>
        <v>147</v>
      </c>
      <c r="Q542" s="552">
        <f t="shared" ca="1" si="43"/>
        <v>-4872</v>
      </c>
      <c r="R542" s="563">
        <f t="shared" ca="1" si="44"/>
        <v>1</v>
      </c>
      <c r="S542" s="565" t="s">
        <v>914</v>
      </c>
    </row>
    <row r="543" spans="2:19" ht="39.950000000000003" customHeight="1" x14ac:dyDescent="0.25">
      <c r="B543" s="859">
        <v>41453</v>
      </c>
      <c r="C543" s="558" t="s">
        <v>2349</v>
      </c>
      <c r="D543" s="558"/>
      <c r="E543" s="565" t="s">
        <v>1048</v>
      </c>
      <c r="F543" s="548" t="s">
        <v>1093</v>
      </c>
      <c r="G543" s="559" t="s">
        <v>913</v>
      </c>
      <c r="H543" s="548" t="s">
        <v>28</v>
      </c>
      <c r="I543" s="548" t="s">
        <v>23</v>
      </c>
      <c r="J543" s="548" t="s">
        <v>737</v>
      </c>
      <c r="K543" s="576">
        <v>3360</v>
      </c>
      <c r="L543" s="576">
        <v>41.59</v>
      </c>
      <c r="M543" s="552">
        <f t="shared" si="40"/>
        <v>80.788651118057217</v>
      </c>
      <c r="N543" s="577">
        <v>60</v>
      </c>
      <c r="O543" s="563">
        <f t="shared" si="41"/>
        <v>56</v>
      </c>
      <c r="P543" s="564">
        <f t="shared" ca="1" si="42"/>
        <v>147</v>
      </c>
      <c r="Q543" s="552">
        <f t="shared" ca="1" si="43"/>
        <v>-4872</v>
      </c>
      <c r="R543" s="563">
        <f t="shared" ca="1" si="44"/>
        <v>1</v>
      </c>
      <c r="S543" s="565" t="s">
        <v>914</v>
      </c>
    </row>
    <row r="544" spans="2:19" ht="39.950000000000003" customHeight="1" x14ac:dyDescent="0.25">
      <c r="B544" s="859">
        <v>41453</v>
      </c>
      <c r="C544" s="558" t="s">
        <v>2349</v>
      </c>
      <c r="D544" s="558"/>
      <c r="E544" s="565" t="s">
        <v>1048</v>
      </c>
      <c r="F544" s="548" t="s">
        <v>1094</v>
      </c>
      <c r="G544" s="559" t="s">
        <v>913</v>
      </c>
      <c r="H544" s="548" t="s">
        <v>28</v>
      </c>
      <c r="I544" s="548" t="s">
        <v>23</v>
      </c>
      <c r="J544" s="548" t="s">
        <v>737</v>
      </c>
      <c r="K544" s="576">
        <v>3360</v>
      </c>
      <c r="L544" s="576">
        <v>41.59</v>
      </c>
      <c r="M544" s="552">
        <f t="shared" si="40"/>
        <v>80.788651118057217</v>
      </c>
      <c r="N544" s="577">
        <v>60</v>
      </c>
      <c r="O544" s="563">
        <f t="shared" si="41"/>
        <v>56</v>
      </c>
      <c r="P544" s="564">
        <f t="shared" ca="1" si="42"/>
        <v>147</v>
      </c>
      <c r="Q544" s="552">
        <f t="shared" ca="1" si="43"/>
        <v>-4872</v>
      </c>
      <c r="R544" s="563">
        <f t="shared" ca="1" si="44"/>
        <v>1</v>
      </c>
      <c r="S544" s="565" t="s">
        <v>914</v>
      </c>
    </row>
    <row r="545" spans="2:19" ht="39.950000000000003" customHeight="1" x14ac:dyDescent="0.25">
      <c r="B545" s="859">
        <v>41453</v>
      </c>
      <c r="C545" s="558" t="s">
        <v>2349</v>
      </c>
      <c r="D545" s="558"/>
      <c r="E545" s="565" t="s">
        <v>1048</v>
      </c>
      <c r="F545" s="548" t="s">
        <v>1091</v>
      </c>
      <c r="G545" s="559" t="s">
        <v>903</v>
      </c>
      <c r="H545" s="548" t="s">
        <v>28</v>
      </c>
      <c r="I545" s="548" t="s">
        <v>23</v>
      </c>
      <c r="J545" s="548" t="s">
        <v>737</v>
      </c>
      <c r="K545" s="576">
        <v>90500</v>
      </c>
      <c r="L545" s="576">
        <v>41.59</v>
      </c>
      <c r="M545" s="552">
        <f t="shared" si="40"/>
        <v>2176.0038470786244</v>
      </c>
      <c r="N545" s="577">
        <v>60</v>
      </c>
      <c r="O545" s="563">
        <f t="shared" si="41"/>
        <v>1508.3333333333333</v>
      </c>
      <c r="P545" s="564">
        <f t="shared" ca="1" si="42"/>
        <v>147</v>
      </c>
      <c r="Q545" s="552">
        <f t="shared" ca="1" si="43"/>
        <v>-131225</v>
      </c>
      <c r="R545" s="563">
        <f t="shared" ca="1" si="44"/>
        <v>1</v>
      </c>
      <c r="S545" s="565" t="s">
        <v>904</v>
      </c>
    </row>
    <row r="546" spans="2:19" ht="39.950000000000003" customHeight="1" x14ac:dyDescent="0.25">
      <c r="B546" s="859">
        <v>41488</v>
      </c>
      <c r="C546" s="558" t="s">
        <v>2349</v>
      </c>
      <c r="D546" s="558"/>
      <c r="E546" s="565" t="s">
        <v>1095</v>
      </c>
      <c r="F546" s="548" t="s">
        <v>1096</v>
      </c>
      <c r="G546" s="559" t="s">
        <v>1097</v>
      </c>
      <c r="H546" s="548">
        <v>38405311</v>
      </c>
      <c r="I546" s="548" t="s">
        <v>23</v>
      </c>
      <c r="J546" s="548" t="s">
        <v>737</v>
      </c>
      <c r="K546" s="570">
        <v>598000</v>
      </c>
      <c r="L546" s="570">
        <v>42.04</v>
      </c>
      <c r="M546" s="552">
        <f t="shared" si="40"/>
        <v>14224.548049476689</v>
      </c>
      <c r="N546" s="562">
        <v>60</v>
      </c>
      <c r="O546" s="563">
        <f t="shared" si="41"/>
        <v>9966.6666666666661</v>
      </c>
      <c r="P546" s="564">
        <f t="shared" ca="1" si="42"/>
        <v>145</v>
      </c>
      <c r="Q546" s="552">
        <f t="shared" ca="1" si="43"/>
        <v>-847166.66666666651</v>
      </c>
      <c r="R546" s="563">
        <f t="shared" ca="1" si="44"/>
        <v>1</v>
      </c>
      <c r="S546" s="565" t="s">
        <v>1098</v>
      </c>
    </row>
    <row r="547" spans="2:19" ht="39.950000000000003" customHeight="1" x14ac:dyDescent="0.25">
      <c r="B547" s="859">
        <v>41540</v>
      </c>
      <c r="C547" s="558" t="s">
        <v>2349</v>
      </c>
      <c r="D547" s="558"/>
      <c r="E547" s="565" t="s">
        <v>1099</v>
      </c>
      <c r="F547" s="548" t="s">
        <v>1100</v>
      </c>
      <c r="G547" s="565" t="s">
        <v>1101</v>
      </c>
      <c r="H547" s="548" t="s">
        <v>1102</v>
      </c>
      <c r="I547" s="548" t="s">
        <v>23</v>
      </c>
      <c r="J547" s="548" t="s">
        <v>676</v>
      </c>
      <c r="K547" s="560">
        <v>2200</v>
      </c>
      <c r="L547" s="570">
        <v>42.62</v>
      </c>
      <c r="M547" s="552">
        <f t="shared" si="40"/>
        <v>51.618958235570155</v>
      </c>
      <c r="N547" s="562">
        <v>60</v>
      </c>
      <c r="O547" s="563">
        <f t="shared" si="41"/>
        <v>36.666666666666664</v>
      </c>
      <c r="P547" s="564">
        <f t="shared" ca="1" si="42"/>
        <v>144</v>
      </c>
      <c r="Q547" s="552">
        <f t="shared" ca="1" si="43"/>
        <v>-3080</v>
      </c>
      <c r="R547" s="563">
        <f t="shared" ca="1" si="44"/>
        <v>1</v>
      </c>
      <c r="S547" s="565" t="s">
        <v>1103</v>
      </c>
    </row>
    <row r="548" spans="2:19" ht="39.950000000000003" customHeight="1" x14ac:dyDescent="0.25">
      <c r="B548" s="859">
        <v>41543</v>
      </c>
      <c r="C548" s="558" t="s">
        <v>2349</v>
      </c>
      <c r="D548" s="558"/>
      <c r="E548" s="565" t="s">
        <v>1113</v>
      </c>
      <c r="F548" s="548" t="s">
        <v>1114</v>
      </c>
      <c r="G548" s="559" t="s">
        <v>1115</v>
      </c>
      <c r="H548" s="548" t="s">
        <v>1116</v>
      </c>
      <c r="I548" s="548" t="s">
        <v>1107</v>
      </c>
      <c r="J548" s="548" t="s">
        <v>19</v>
      </c>
      <c r="K548" s="570">
        <v>45500</v>
      </c>
      <c r="L548" s="570">
        <v>42.46</v>
      </c>
      <c r="M548" s="552">
        <f t="shared" si="40"/>
        <v>1071.596796985398</v>
      </c>
      <c r="N548" s="562">
        <v>60</v>
      </c>
      <c r="O548" s="563">
        <f t="shared" si="41"/>
        <v>758.33333333333337</v>
      </c>
      <c r="P548" s="564">
        <f t="shared" ca="1" si="42"/>
        <v>144</v>
      </c>
      <c r="Q548" s="552">
        <f t="shared" ca="1" si="43"/>
        <v>-63700</v>
      </c>
      <c r="R548" s="563">
        <f t="shared" ca="1" si="44"/>
        <v>1</v>
      </c>
      <c r="S548" s="565" t="s">
        <v>1117</v>
      </c>
    </row>
    <row r="549" spans="2:19" ht="60.75" customHeight="1" x14ac:dyDescent="0.25">
      <c r="B549" s="859">
        <v>41543</v>
      </c>
      <c r="C549" s="558" t="s">
        <v>2349</v>
      </c>
      <c r="D549" s="558"/>
      <c r="E549" s="565" t="s">
        <v>1109</v>
      </c>
      <c r="F549" s="548" t="s">
        <v>1110</v>
      </c>
      <c r="G549" s="559" t="s">
        <v>1111</v>
      </c>
      <c r="H549" s="548">
        <v>2280074</v>
      </c>
      <c r="I549" s="548" t="s">
        <v>1107</v>
      </c>
      <c r="J549" s="548" t="s">
        <v>19</v>
      </c>
      <c r="K549" s="570">
        <v>34650</v>
      </c>
      <c r="L549" s="570">
        <v>42.46</v>
      </c>
      <c r="M549" s="552">
        <f t="shared" si="40"/>
        <v>816.06217616580307</v>
      </c>
      <c r="N549" s="562">
        <v>60</v>
      </c>
      <c r="O549" s="563">
        <f t="shared" si="41"/>
        <v>577.5</v>
      </c>
      <c r="P549" s="564">
        <f t="shared" ca="1" si="42"/>
        <v>144</v>
      </c>
      <c r="Q549" s="552">
        <f t="shared" ca="1" si="43"/>
        <v>-48510</v>
      </c>
      <c r="R549" s="563">
        <f t="shared" ca="1" si="44"/>
        <v>1</v>
      </c>
      <c r="S549" s="565" t="s">
        <v>1112</v>
      </c>
    </row>
    <row r="550" spans="2:19" ht="60" customHeight="1" x14ac:dyDescent="0.25">
      <c r="B550" s="859">
        <v>41543</v>
      </c>
      <c r="C550" s="558" t="s">
        <v>2349</v>
      </c>
      <c r="D550" s="558"/>
      <c r="E550" s="565" t="s">
        <v>1104</v>
      </c>
      <c r="F550" s="548" t="s">
        <v>1105</v>
      </c>
      <c r="G550" s="559" t="s">
        <v>1106</v>
      </c>
      <c r="H550" s="548">
        <v>2541936</v>
      </c>
      <c r="I550" s="548" t="s">
        <v>1107</v>
      </c>
      <c r="J550" s="548" t="s">
        <v>19</v>
      </c>
      <c r="K550" s="570">
        <v>53284.75</v>
      </c>
      <c r="L550" s="570">
        <v>42.46</v>
      </c>
      <c r="M550" s="552">
        <f t="shared" si="40"/>
        <v>1254.9399434762129</v>
      </c>
      <c r="N550" s="562">
        <v>60</v>
      </c>
      <c r="O550" s="563">
        <f t="shared" si="41"/>
        <v>888.07916666666665</v>
      </c>
      <c r="P550" s="564">
        <f t="shared" ca="1" si="42"/>
        <v>144</v>
      </c>
      <c r="Q550" s="552">
        <f t="shared" ca="1" si="43"/>
        <v>-74598.649999999994</v>
      </c>
      <c r="R550" s="563">
        <f t="shared" ca="1" si="44"/>
        <v>1</v>
      </c>
      <c r="S550" s="565" t="s">
        <v>1108</v>
      </c>
    </row>
    <row r="551" spans="2:19" ht="39.950000000000003" customHeight="1" x14ac:dyDescent="0.25">
      <c r="B551" s="859">
        <v>41548</v>
      </c>
      <c r="C551" s="558" t="s">
        <v>2349</v>
      </c>
      <c r="D551" s="558"/>
      <c r="E551" s="565" t="s">
        <v>1118</v>
      </c>
      <c r="F551" s="548" t="s">
        <v>1119</v>
      </c>
      <c r="G551" s="559" t="s">
        <v>1120</v>
      </c>
      <c r="H551" s="548" t="s">
        <v>28</v>
      </c>
      <c r="I551" s="548" t="s">
        <v>1121</v>
      </c>
      <c r="J551" s="548" t="s">
        <v>19</v>
      </c>
      <c r="K551" s="570">
        <v>13330.51</v>
      </c>
      <c r="L551" s="570">
        <v>42.43</v>
      </c>
      <c r="M551" s="552">
        <f t="shared" si="40"/>
        <v>314.17652604289418</v>
      </c>
      <c r="N551" s="562">
        <v>60</v>
      </c>
      <c r="O551" s="563">
        <f t="shared" si="41"/>
        <v>222.17516666666668</v>
      </c>
      <c r="P551" s="564">
        <f t="shared" ca="1" si="42"/>
        <v>143</v>
      </c>
      <c r="Q551" s="552">
        <f t="shared" ca="1" si="43"/>
        <v>-18440.538833333332</v>
      </c>
      <c r="R551" s="563">
        <f t="shared" ca="1" si="44"/>
        <v>1</v>
      </c>
      <c r="S551" s="565" t="s">
        <v>1122</v>
      </c>
    </row>
    <row r="552" spans="2:19" ht="57" customHeight="1" x14ac:dyDescent="0.25">
      <c r="B552" s="859">
        <v>41744</v>
      </c>
      <c r="C552" s="558" t="s">
        <v>2349</v>
      </c>
      <c r="D552" s="558"/>
      <c r="E552" s="565" t="s">
        <v>1124</v>
      </c>
      <c r="F552" s="548" t="s">
        <v>1126</v>
      </c>
      <c r="G552" s="559" t="s">
        <v>1125</v>
      </c>
      <c r="H552" s="548" t="s">
        <v>28</v>
      </c>
      <c r="I552" s="548" t="s">
        <v>1127</v>
      </c>
      <c r="J552" s="548" t="s">
        <v>19</v>
      </c>
      <c r="K552" s="570">
        <v>3675</v>
      </c>
      <c r="L552" s="570">
        <v>43.099600000000002</v>
      </c>
      <c r="M552" s="552">
        <f t="shared" si="40"/>
        <v>85.267612692461185</v>
      </c>
      <c r="N552" s="562">
        <v>60</v>
      </c>
      <c r="O552" s="563">
        <f t="shared" si="41"/>
        <v>61.25</v>
      </c>
      <c r="P552" s="564">
        <f t="shared" ca="1" si="42"/>
        <v>137</v>
      </c>
      <c r="Q552" s="552">
        <f t="shared" ca="1" si="43"/>
        <v>-4716.25</v>
      </c>
      <c r="R552" s="563">
        <f t="shared" ca="1" si="44"/>
        <v>1</v>
      </c>
      <c r="S552" s="565" t="s">
        <v>1123</v>
      </c>
    </row>
    <row r="553" spans="2:19" ht="50.25" customHeight="1" x14ac:dyDescent="0.25">
      <c r="B553" s="859">
        <v>41744</v>
      </c>
      <c r="C553" s="558" t="s">
        <v>2349</v>
      </c>
      <c r="D553" s="558"/>
      <c r="E553" s="565" t="s">
        <v>1124</v>
      </c>
      <c r="F553" s="548" t="s">
        <v>1128</v>
      </c>
      <c r="G553" s="559" t="s">
        <v>1125</v>
      </c>
      <c r="H553" s="548" t="s">
        <v>28</v>
      </c>
      <c r="I553" s="548" t="s">
        <v>742</v>
      </c>
      <c r="J553" s="548" t="s">
        <v>19</v>
      </c>
      <c r="K553" s="570">
        <v>3675</v>
      </c>
      <c r="L553" s="570">
        <v>43.099600000000002</v>
      </c>
      <c r="M553" s="552">
        <f t="shared" si="40"/>
        <v>85.267612692461185</v>
      </c>
      <c r="N553" s="562">
        <v>6</v>
      </c>
      <c r="O553" s="563">
        <f t="shared" si="41"/>
        <v>612.5</v>
      </c>
      <c r="P553" s="564">
        <f t="shared" ca="1" si="42"/>
        <v>137</v>
      </c>
      <c r="Q553" s="552">
        <f t="shared" ca="1" si="43"/>
        <v>-80237.5</v>
      </c>
      <c r="R553" s="563">
        <f t="shared" ca="1" si="44"/>
        <v>1</v>
      </c>
      <c r="S553" s="565" t="s">
        <v>1123</v>
      </c>
    </row>
    <row r="554" spans="2:19" ht="65.25" customHeight="1" x14ac:dyDescent="0.25">
      <c r="B554" s="859">
        <v>41744</v>
      </c>
      <c r="C554" s="558" t="s">
        <v>2349</v>
      </c>
      <c r="D554" s="558"/>
      <c r="E554" s="565" t="s">
        <v>1124</v>
      </c>
      <c r="F554" s="548" t="s">
        <v>1129</v>
      </c>
      <c r="G554" s="559" t="s">
        <v>1125</v>
      </c>
      <c r="H554" s="548" t="s">
        <v>28</v>
      </c>
      <c r="I554" s="548" t="s">
        <v>742</v>
      </c>
      <c r="J554" s="548" t="s">
        <v>19</v>
      </c>
      <c r="K554" s="570">
        <v>3675</v>
      </c>
      <c r="L554" s="570">
        <v>43.099600000000002</v>
      </c>
      <c r="M554" s="552">
        <f t="shared" si="40"/>
        <v>85.267612692461185</v>
      </c>
      <c r="N554" s="562">
        <v>60</v>
      </c>
      <c r="O554" s="563">
        <f t="shared" si="41"/>
        <v>61.25</v>
      </c>
      <c r="P554" s="564">
        <f t="shared" ca="1" si="42"/>
        <v>137</v>
      </c>
      <c r="Q554" s="552">
        <f t="shared" ca="1" si="43"/>
        <v>-4716.25</v>
      </c>
      <c r="R554" s="563">
        <f t="shared" ca="1" si="44"/>
        <v>1</v>
      </c>
      <c r="S554" s="565" t="s">
        <v>1123</v>
      </c>
    </row>
    <row r="555" spans="2:19" ht="54.75" customHeight="1" x14ac:dyDescent="0.25">
      <c r="B555" s="859">
        <v>41744</v>
      </c>
      <c r="C555" s="558" t="s">
        <v>2349</v>
      </c>
      <c r="D555" s="558"/>
      <c r="E555" s="565" t="s">
        <v>1124</v>
      </c>
      <c r="F555" s="548" t="s">
        <v>1130</v>
      </c>
      <c r="G555" s="559" t="s">
        <v>1125</v>
      </c>
      <c r="H555" s="548" t="s">
        <v>28</v>
      </c>
      <c r="I555" s="548" t="s">
        <v>742</v>
      </c>
      <c r="J555" s="548" t="s">
        <v>19</v>
      </c>
      <c r="K555" s="570">
        <v>3675</v>
      </c>
      <c r="L555" s="570">
        <v>43.099600000000002</v>
      </c>
      <c r="M555" s="552">
        <f t="shared" si="40"/>
        <v>85.267612692461185</v>
      </c>
      <c r="N555" s="562">
        <v>60</v>
      </c>
      <c r="O555" s="563">
        <f t="shared" si="41"/>
        <v>61.25</v>
      </c>
      <c r="P555" s="564">
        <f t="shared" ca="1" si="42"/>
        <v>137</v>
      </c>
      <c r="Q555" s="552">
        <f t="shared" ca="1" si="43"/>
        <v>-4716.25</v>
      </c>
      <c r="R555" s="563">
        <f t="shared" ca="1" si="44"/>
        <v>1</v>
      </c>
      <c r="S555" s="565" t="s">
        <v>1123</v>
      </c>
    </row>
    <row r="556" spans="2:19" ht="60" customHeight="1" x14ac:dyDescent="0.25">
      <c r="B556" s="859">
        <v>41744</v>
      </c>
      <c r="C556" s="558" t="s">
        <v>2349</v>
      </c>
      <c r="D556" s="558"/>
      <c r="E556" s="565" t="s">
        <v>1124</v>
      </c>
      <c r="F556" s="548" t="s">
        <v>1131</v>
      </c>
      <c r="G556" s="559" t="s">
        <v>1125</v>
      </c>
      <c r="H556" s="548" t="s">
        <v>28</v>
      </c>
      <c r="I556" s="548" t="s">
        <v>1132</v>
      </c>
      <c r="J556" s="548" t="s">
        <v>19</v>
      </c>
      <c r="K556" s="570">
        <v>3675</v>
      </c>
      <c r="L556" s="570">
        <v>43.099600000000002</v>
      </c>
      <c r="M556" s="552">
        <f t="shared" si="40"/>
        <v>85.267612692461185</v>
      </c>
      <c r="N556" s="562">
        <v>60</v>
      </c>
      <c r="O556" s="563">
        <f t="shared" si="41"/>
        <v>61.25</v>
      </c>
      <c r="P556" s="564">
        <f t="shared" ca="1" si="42"/>
        <v>137</v>
      </c>
      <c r="Q556" s="552">
        <f t="shared" ca="1" si="43"/>
        <v>-4716.25</v>
      </c>
      <c r="R556" s="563">
        <f t="shared" ca="1" si="44"/>
        <v>1</v>
      </c>
      <c r="S556" s="565" t="s">
        <v>1123</v>
      </c>
    </row>
    <row r="557" spans="2:19" ht="60.75" customHeight="1" x14ac:dyDescent="0.25">
      <c r="B557" s="859">
        <v>41744</v>
      </c>
      <c r="C557" s="558" t="s">
        <v>2349</v>
      </c>
      <c r="D557" s="558"/>
      <c r="E557" s="565" t="s">
        <v>1124</v>
      </c>
      <c r="F557" s="548" t="s">
        <v>1133</v>
      </c>
      <c r="G557" s="559" t="s">
        <v>1125</v>
      </c>
      <c r="H557" s="548" t="s">
        <v>28</v>
      </c>
      <c r="I557" s="548" t="s">
        <v>1132</v>
      </c>
      <c r="J557" s="548" t="s">
        <v>19</v>
      </c>
      <c r="K557" s="570">
        <v>3675</v>
      </c>
      <c r="L557" s="570">
        <v>43.099600000000002</v>
      </c>
      <c r="M557" s="552">
        <f t="shared" si="40"/>
        <v>85.267612692461185</v>
      </c>
      <c r="N557" s="562">
        <v>60</v>
      </c>
      <c r="O557" s="563">
        <f t="shared" si="41"/>
        <v>61.25</v>
      </c>
      <c r="P557" s="564">
        <f t="shared" ca="1" si="42"/>
        <v>137</v>
      </c>
      <c r="Q557" s="552">
        <f t="shared" ca="1" si="43"/>
        <v>-4716.25</v>
      </c>
      <c r="R557" s="563">
        <f t="shared" ca="1" si="44"/>
        <v>1</v>
      </c>
      <c r="S557" s="565" t="s">
        <v>1123</v>
      </c>
    </row>
    <row r="558" spans="2:19" ht="64.5" customHeight="1" x14ac:dyDescent="0.25">
      <c r="B558" s="859">
        <v>41744</v>
      </c>
      <c r="C558" s="558" t="s">
        <v>2349</v>
      </c>
      <c r="D558" s="558"/>
      <c r="E558" s="565" t="s">
        <v>1124</v>
      </c>
      <c r="F558" s="548" t="s">
        <v>1134</v>
      </c>
      <c r="G558" s="559" t="s">
        <v>1125</v>
      </c>
      <c r="H558" s="548" t="s">
        <v>28</v>
      </c>
      <c r="I558" s="548" t="s">
        <v>1135</v>
      </c>
      <c r="J558" s="548" t="s">
        <v>19</v>
      </c>
      <c r="K558" s="570">
        <v>3675</v>
      </c>
      <c r="L558" s="570">
        <v>43.099600000000002</v>
      </c>
      <c r="M558" s="552">
        <f t="shared" si="40"/>
        <v>85.267612692461185</v>
      </c>
      <c r="N558" s="562">
        <v>60</v>
      </c>
      <c r="O558" s="563">
        <f t="shared" si="41"/>
        <v>61.25</v>
      </c>
      <c r="P558" s="564">
        <f t="shared" ca="1" si="42"/>
        <v>137</v>
      </c>
      <c r="Q558" s="552">
        <f t="shared" ca="1" si="43"/>
        <v>-4716.25</v>
      </c>
      <c r="R558" s="563">
        <f t="shared" ca="1" si="44"/>
        <v>1</v>
      </c>
      <c r="S558" s="565" t="s">
        <v>1123</v>
      </c>
    </row>
    <row r="559" spans="2:19" ht="51" customHeight="1" x14ac:dyDescent="0.25">
      <c r="B559" s="859">
        <v>41744</v>
      </c>
      <c r="C559" s="558" t="s">
        <v>2349</v>
      </c>
      <c r="D559" s="558"/>
      <c r="E559" s="565" t="s">
        <v>1124</v>
      </c>
      <c r="F559" s="548" t="s">
        <v>1136</v>
      </c>
      <c r="G559" s="559" t="s">
        <v>1125</v>
      </c>
      <c r="H559" s="548" t="s">
        <v>28</v>
      </c>
      <c r="I559" s="548" t="s">
        <v>1107</v>
      </c>
      <c r="J559" s="548" t="s">
        <v>19</v>
      </c>
      <c r="K559" s="570">
        <v>3675</v>
      </c>
      <c r="L559" s="570">
        <v>43.099600000000002</v>
      </c>
      <c r="M559" s="552">
        <f t="shared" si="40"/>
        <v>85.267612692461185</v>
      </c>
      <c r="N559" s="562">
        <v>60</v>
      </c>
      <c r="O559" s="563">
        <f t="shared" si="41"/>
        <v>61.25</v>
      </c>
      <c r="P559" s="564">
        <f t="shared" ca="1" si="42"/>
        <v>137</v>
      </c>
      <c r="Q559" s="552">
        <f t="shared" ca="1" si="43"/>
        <v>-4716.25</v>
      </c>
      <c r="R559" s="563">
        <f t="shared" ca="1" si="44"/>
        <v>1</v>
      </c>
      <c r="S559" s="565" t="s">
        <v>1123</v>
      </c>
    </row>
    <row r="560" spans="2:19" ht="50.25" customHeight="1" x14ac:dyDescent="0.25">
      <c r="B560" s="859">
        <v>41744</v>
      </c>
      <c r="C560" s="558" t="s">
        <v>2349</v>
      </c>
      <c r="D560" s="558"/>
      <c r="E560" s="565" t="s">
        <v>1124</v>
      </c>
      <c r="F560" s="548" t="s">
        <v>1137</v>
      </c>
      <c r="G560" s="559" t="s">
        <v>1125</v>
      </c>
      <c r="H560" s="548" t="s">
        <v>28</v>
      </c>
      <c r="I560" s="548" t="s">
        <v>1138</v>
      </c>
      <c r="J560" s="548" t="s">
        <v>19</v>
      </c>
      <c r="K560" s="570">
        <v>3675</v>
      </c>
      <c r="L560" s="570">
        <v>43.099600000000002</v>
      </c>
      <c r="M560" s="552">
        <f t="shared" si="40"/>
        <v>85.267612692461185</v>
      </c>
      <c r="N560" s="562">
        <v>60</v>
      </c>
      <c r="O560" s="563">
        <f t="shared" si="41"/>
        <v>61.25</v>
      </c>
      <c r="P560" s="564">
        <f t="shared" ca="1" si="42"/>
        <v>137</v>
      </c>
      <c r="Q560" s="552">
        <f t="shared" ca="1" si="43"/>
        <v>-4716.25</v>
      </c>
      <c r="R560" s="563">
        <f t="shared" ca="1" si="44"/>
        <v>1</v>
      </c>
      <c r="S560" s="565" t="s">
        <v>1123</v>
      </c>
    </row>
    <row r="561" spans="2:19" ht="50.25" customHeight="1" x14ac:dyDescent="0.25">
      <c r="B561" s="859">
        <v>41744</v>
      </c>
      <c r="C561" s="558" t="s">
        <v>2349</v>
      </c>
      <c r="D561" s="558"/>
      <c r="E561" s="565" t="s">
        <v>1124</v>
      </c>
      <c r="F561" s="548" t="s">
        <v>1139</v>
      </c>
      <c r="G561" s="559" t="s">
        <v>1125</v>
      </c>
      <c r="H561" s="548" t="s">
        <v>28</v>
      </c>
      <c r="I561" s="548" t="s">
        <v>60</v>
      </c>
      <c r="J561" s="548" t="s">
        <v>19</v>
      </c>
      <c r="K561" s="570">
        <v>3675</v>
      </c>
      <c r="L561" s="570">
        <v>43.099600000000002</v>
      </c>
      <c r="M561" s="552">
        <f t="shared" si="40"/>
        <v>85.267612692461185</v>
      </c>
      <c r="N561" s="562">
        <v>60</v>
      </c>
      <c r="O561" s="563">
        <f t="shared" si="41"/>
        <v>61.25</v>
      </c>
      <c r="P561" s="564">
        <f t="shared" ca="1" si="42"/>
        <v>137</v>
      </c>
      <c r="Q561" s="552">
        <f t="shared" ca="1" si="43"/>
        <v>-4716.25</v>
      </c>
      <c r="R561" s="563">
        <f t="shared" ca="1" si="44"/>
        <v>1</v>
      </c>
      <c r="S561" s="565" t="s">
        <v>1123</v>
      </c>
    </row>
    <row r="562" spans="2:19" ht="50.25" customHeight="1" x14ac:dyDescent="0.25">
      <c r="B562" s="859">
        <v>41744</v>
      </c>
      <c r="C562" s="558" t="s">
        <v>2349</v>
      </c>
      <c r="D562" s="558"/>
      <c r="E562" s="565" t="s">
        <v>1124</v>
      </c>
      <c r="F562" s="548" t="s">
        <v>1140</v>
      </c>
      <c r="G562" s="559" t="s">
        <v>1125</v>
      </c>
      <c r="H562" s="548" t="s">
        <v>28</v>
      </c>
      <c r="I562" s="548" t="s">
        <v>1141</v>
      </c>
      <c r="J562" s="548" t="s">
        <v>19</v>
      </c>
      <c r="K562" s="570">
        <v>3675</v>
      </c>
      <c r="L562" s="570">
        <v>43.099600000000002</v>
      </c>
      <c r="M562" s="552">
        <f t="shared" si="40"/>
        <v>85.267612692461185</v>
      </c>
      <c r="N562" s="562">
        <v>60</v>
      </c>
      <c r="O562" s="563">
        <f t="shared" si="41"/>
        <v>61.25</v>
      </c>
      <c r="P562" s="564">
        <f t="shared" ca="1" si="42"/>
        <v>137</v>
      </c>
      <c r="Q562" s="552">
        <f t="shared" ca="1" si="43"/>
        <v>-4716.25</v>
      </c>
      <c r="R562" s="563">
        <f t="shared" ca="1" si="44"/>
        <v>1</v>
      </c>
      <c r="S562" s="565" t="s">
        <v>1123</v>
      </c>
    </row>
    <row r="563" spans="2:19" ht="47.25" customHeight="1" x14ac:dyDescent="0.25">
      <c r="B563" s="859">
        <v>41744</v>
      </c>
      <c r="C563" s="558" t="s">
        <v>2349</v>
      </c>
      <c r="D563" s="558"/>
      <c r="E563" s="565" t="s">
        <v>1124</v>
      </c>
      <c r="F563" s="548" t="s">
        <v>1142</v>
      </c>
      <c r="G563" s="559" t="s">
        <v>1125</v>
      </c>
      <c r="H563" s="548" t="s">
        <v>28</v>
      </c>
      <c r="I563" s="548" t="s">
        <v>60</v>
      </c>
      <c r="J563" s="548" t="s">
        <v>19</v>
      </c>
      <c r="K563" s="570">
        <v>3675</v>
      </c>
      <c r="L563" s="570">
        <v>43.099600000000002</v>
      </c>
      <c r="M563" s="552">
        <f t="shared" si="40"/>
        <v>85.267612692461185</v>
      </c>
      <c r="N563" s="562">
        <v>60</v>
      </c>
      <c r="O563" s="563">
        <f t="shared" si="41"/>
        <v>61.25</v>
      </c>
      <c r="P563" s="564">
        <f t="shared" ca="1" si="42"/>
        <v>137</v>
      </c>
      <c r="Q563" s="552">
        <f t="shared" ca="1" si="43"/>
        <v>-4716.25</v>
      </c>
      <c r="R563" s="563">
        <f t="shared" ca="1" si="44"/>
        <v>1</v>
      </c>
      <c r="S563" s="565" t="s">
        <v>1123</v>
      </c>
    </row>
    <row r="564" spans="2:19" ht="50.25" customHeight="1" x14ac:dyDescent="0.25">
      <c r="B564" s="859">
        <v>41744</v>
      </c>
      <c r="C564" s="558" t="s">
        <v>2349</v>
      </c>
      <c r="D564" s="558"/>
      <c r="E564" s="565" t="s">
        <v>1124</v>
      </c>
      <c r="F564" s="548" t="s">
        <v>1143</v>
      </c>
      <c r="G564" s="559" t="s">
        <v>1125</v>
      </c>
      <c r="H564" s="548" t="s">
        <v>28</v>
      </c>
      <c r="I564" s="548" t="s">
        <v>60</v>
      </c>
      <c r="J564" s="548" t="s">
        <v>19</v>
      </c>
      <c r="K564" s="570">
        <v>3675</v>
      </c>
      <c r="L564" s="570">
        <v>43.099600000000002</v>
      </c>
      <c r="M564" s="552">
        <f t="shared" si="40"/>
        <v>85.267612692461185</v>
      </c>
      <c r="N564" s="562">
        <v>60</v>
      </c>
      <c r="O564" s="563">
        <f t="shared" si="41"/>
        <v>61.25</v>
      </c>
      <c r="P564" s="564">
        <f t="shared" ca="1" si="42"/>
        <v>137</v>
      </c>
      <c r="Q564" s="552">
        <f t="shared" ca="1" si="43"/>
        <v>-4716.25</v>
      </c>
      <c r="R564" s="563">
        <f t="shared" ca="1" si="44"/>
        <v>1</v>
      </c>
      <c r="S564" s="565" t="s">
        <v>1123</v>
      </c>
    </row>
    <row r="565" spans="2:19" ht="55.5" customHeight="1" x14ac:dyDescent="0.25">
      <c r="B565" s="859">
        <v>41744</v>
      </c>
      <c r="C565" s="558" t="s">
        <v>2349</v>
      </c>
      <c r="D565" s="558"/>
      <c r="E565" s="565" t="s">
        <v>1124</v>
      </c>
      <c r="F565" s="548" t="s">
        <v>1144</v>
      </c>
      <c r="G565" s="559" t="s">
        <v>1125</v>
      </c>
      <c r="H565" s="548" t="s">
        <v>28</v>
      </c>
      <c r="I565" s="548" t="s">
        <v>60</v>
      </c>
      <c r="J565" s="548" t="s">
        <v>19</v>
      </c>
      <c r="K565" s="570">
        <v>3675</v>
      </c>
      <c r="L565" s="570">
        <v>43.099600000000002</v>
      </c>
      <c r="M565" s="552">
        <f t="shared" si="40"/>
        <v>85.267612692461185</v>
      </c>
      <c r="N565" s="562">
        <v>60</v>
      </c>
      <c r="O565" s="563">
        <f t="shared" si="41"/>
        <v>61.25</v>
      </c>
      <c r="P565" s="564">
        <f t="shared" ca="1" si="42"/>
        <v>137</v>
      </c>
      <c r="Q565" s="552">
        <f t="shared" ca="1" si="43"/>
        <v>-4716.25</v>
      </c>
      <c r="R565" s="563">
        <f t="shared" ca="1" si="44"/>
        <v>1</v>
      </c>
      <c r="S565" s="565" t="s">
        <v>1123</v>
      </c>
    </row>
    <row r="566" spans="2:19" ht="54.75" customHeight="1" x14ac:dyDescent="0.25">
      <c r="B566" s="859">
        <v>41744</v>
      </c>
      <c r="C566" s="558" t="s">
        <v>2349</v>
      </c>
      <c r="D566" s="558"/>
      <c r="E566" s="565" t="s">
        <v>1124</v>
      </c>
      <c r="F566" s="548" t="s">
        <v>1145</v>
      </c>
      <c r="G566" s="559" t="s">
        <v>1125</v>
      </c>
      <c r="H566" s="548" t="s">
        <v>28</v>
      </c>
      <c r="I566" s="548" t="s">
        <v>60</v>
      </c>
      <c r="J566" s="548" t="s">
        <v>19</v>
      </c>
      <c r="K566" s="570">
        <v>3675</v>
      </c>
      <c r="L566" s="570">
        <v>43.099600000000002</v>
      </c>
      <c r="M566" s="552">
        <f t="shared" si="40"/>
        <v>85.267612692461185</v>
      </c>
      <c r="N566" s="562">
        <v>60</v>
      </c>
      <c r="O566" s="563">
        <f t="shared" si="41"/>
        <v>61.25</v>
      </c>
      <c r="P566" s="564">
        <f t="shared" ca="1" si="42"/>
        <v>137</v>
      </c>
      <c r="Q566" s="552">
        <f t="shared" ca="1" si="43"/>
        <v>-4716.25</v>
      </c>
      <c r="R566" s="563">
        <f t="shared" ca="1" si="44"/>
        <v>1</v>
      </c>
      <c r="S566" s="565" t="s">
        <v>1123</v>
      </c>
    </row>
    <row r="567" spans="2:19" ht="48.75" customHeight="1" x14ac:dyDescent="0.25">
      <c r="B567" s="859">
        <v>41744</v>
      </c>
      <c r="C567" s="558" t="s">
        <v>2349</v>
      </c>
      <c r="D567" s="558"/>
      <c r="E567" s="565" t="s">
        <v>1124</v>
      </c>
      <c r="F567" s="548" t="s">
        <v>1146</v>
      </c>
      <c r="G567" s="559" t="s">
        <v>1125</v>
      </c>
      <c r="H567" s="548" t="s">
        <v>28</v>
      </c>
      <c r="I567" s="548" t="s">
        <v>60</v>
      </c>
      <c r="J567" s="548" t="s">
        <v>19</v>
      </c>
      <c r="K567" s="570">
        <v>3675</v>
      </c>
      <c r="L567" s="570">
        <v>43.099600000000002</v>
      </c>
      <c r="M567" s="552">
        <f t="shared" si="40"/>
        <v>85.267612692461185</v>
      </c>
      <c r="N567" s="562">
        <v>60</v>
      </c>
      <c r="O567" s="563">
        <f t="shared" si="41"/>
        <v>61.25</v>
      </c>
      <c r="P567" s="564">
        <f t="shared" ca="1" si="42"/>
        <v>137</v>
      </c>
      <c r="Q567" s="552">
        <f t="shared" ca="1" si="43"/>
        <v>-4716.25</v>
      </c>
      <c r="R567" s="563">
        <f t="shared" ca="1" si="44"/>
        <v>1</v>
      </c>
      <c r="S567" s="565" t="s">
        <v>1123</v>
      </c>
    </row>
    <row r="568" spans="2:19" ht="48" customHeight="1" x14ac:dyDescent="0.25">
      <c r="B568" s="859">
        <v>41782</v>
      </c>
      <c r="C568" s="558" t="s">
        <v>2349</v>
      </c>
      <c r="D568" s="558"/>
      <c r="E568" s="565" t="s">
        <v>1147</v>
      </c>
      <c r="F568" s="548" t="s">
        <v>1148</v>
      </c>
      <c r="G568" s="559" t="s">
        <v>1149</v>
      </c>
      <c r="H568" s="548">
        <v>13120778</v>
      </c>
      <c r="I568" s="548" t="s">
        <v>1150</v>
      </c>
      <c r="J568" s="548" t="s">
        <v>19</v>
      </c>
      <c r="K568" s="570">
        <v>6025.08</v>
      </c>
      <c r="L568" s="570">
        <v>43.159199999999998</v>
      </c>
      <c r="M568" s="552">
        <f t="shared" si="40"/>
        <v>139.60129010732359</v>
      </c>
      <c r="N568" s="562">
        <v>60</v>
      </c>
      <c r="O568" s="563">
        <f t="shared" si="41"/>
        <v>100.41799999999999</v>
      </c>
      <c r="P568" s="564">
        <f t="shared" ca="1" si="42"/>
        <v>136</v>
      </c>
      <c r="Q568" s="552">
        <f t="shared" ca="1" si="43"/>
        <v>-7631.7679999999982</v>
      </c>
      <c r="R568" s="563">
        <f t="shared" ca="1" si="44"/>
        <v>1</v>
      </c>
      <c r="S568" s="565" t="s">
        <v>1151</v>
      </c>
    </row>
    <row r="569" spans="2:19" ht="39.950000000000003" customHeight="1" x14ac:dyDescent="0.25">
      <c r="B569" s="859">
        <v>41789</v>
      </c>
      <c r="C569" s="558" t="s">
        <v>2349</v>
      </c>
      <c r="D569" s="558"/>
      <c r="E569" s="565" t="s">
        <v>1152</v>
      </c>
      <c r="F569" s="548" t="s">
        <v>1153</v>
      </c>
      <c r="G569" s="559" t="s">
        <v>1154</v>
      </c>
      <c r="H569" s="548">
        <v>14130074</v>
      </c>
      <c r="I569" s="548" t="s">
        <v>1155</v>
      </c>
      <c r="J569" s="548" t="s">
        <v>19</v>
      </c>
      <c r="K569" s="570">
        <v>33908.950000000004</v>
      </c>
      <c r="L569" s="570">
        <v>43.216999999999999</v>
      </c>
      <c r="M569" s="552">
        <f t="shared" si="40"/>
        <v>784.62063539810731</v>
      </c>
      <c r="N569" s="562">
        <v>60</v>
      </c>
      <c r="O569" s="563">
        <f t="shared" si="41"/>
        <v>565.1491666666667</v>
      </c>
      <c r="P569" s="564">
        <f t="shared" ca="1" si="42"/>
        <v>135</v>
      </c>
      <c r="Q569" s="552">
        <f t="shared" ca="1" si="43"/>
        <v>-42386.187500000007</v>
      </c>
      <c r="R569" s="563">
        <f t="shared" ca="1" si="44"/>
        <v>1</v>
      </c>
      <c r="S569" s="565" t="s">
        <v>1151</v>
      </c>
    </row>
    <row r="570" spans="2:19" ht="65.25" customHeight="1" x14ac:dyDescent="0.25">
      <c r="B570" s="859">
        <v>41831</v>
      </c>
      <c r="C570" s="558" t="s">
        <v>2349</v>
      </c>
      <c r="D570" s="558"/>
      <c r="E570" s="565" t="s">
        <v>1156</v>
      </c>
      <c r="F570" s="548" t="s">
        <v>1157</v>
      </c>
      <c r="G570" s="559" t="s">
        <v>1158</v>
      </c>
      <c r="H570" s="548" t="s">
        <v>28</v>
      </c>
      <c r="I570" s="548" t="s">
        <v>1081</v>
      </c>
      <c r="J570" s="548" t="s">
        <v>19</v>
      </c>
      <c r="K570" s="570">
        <v>3495</v>
      </c>
      <c r="L570" s="570">
        <v>43.416699999999999</v>
      </c>
      <c r="M570" s="552">
        <f t="shared" si="40"/>
        <v>80.498978503663338</v>
      </c>
      <c r="N570" s="562">
        <v>60</v>
      </c>
      <c r="O570" s="563">
        <f t="shared" si="41"/>
        <v>58.25</v>
      </c>
      <c r="P570" s="564">
        <f t="shared" ca="1" si="42"/>
        <v>134</v>
      </c>
      <c r="Q570" s="552">
        <f t="shared" ca="1" si="43"/>
        <v>-4310.5</v>
      </c>
      <c r="R570" s="563">
        <f t="shared" ca="1" si="44"/>
        <v>1</v>
      </c>
      <c r="S570" s="565" t="s">
        <v>1159</v>
      </c>
    </row>
    <row r="571" spans="2:19" ht="48.75" customHeight="1" x14ac:dyDescent="0.25">
      <c r="B571" s="859">
        <v>41842</v>
      </c>
      <c r="C571" s="558" t="s">
        <v>2349</v>
      </c>
      <c r="D571" s="558"/>
      <c r="E571" s="565" t="s">
        <v>1160</v>
      </c>
      <c r="F571" s="548" t="s">
        <v>1161</v>
      </c>
      <c r="G571" s="559" t="s">
        <v>1125</v>
      </c>
      <c r="H571" s="548" t="s">
        <v>28</v>
      </c>
      <c r="I571" s="548" t="s">
        <v>1081</v>
      </c>
      <c r="J571" s="548" t="s">
        <v>19</v>
      </c>
      <c r="K571" s="570">
        <v>4460</v>
      </c>
      <c r="L571" s="570">
        <v>43.4756</v>
      </c>
      <c r="M571" s="552">
        <f t="shared" si="40"/>
        <v>102.58627828023074</v>
      </c>
      <c r="N571" s="562">
        <v>60</v>
      </c>
      <c r="O571" s="563">
        <f t="shared" si="41"/>
        <v>74.333333333333329</v>
      </c>
      <c r="P571" s="564">
        <f t="shared" ca="1" si="42"/>
        <v>134</v>
      </c>
      <c r="Q571" s="552">
        <f t="shared" ca="1" si="43"/>
        <v>-5500.6666666666661</v>
      </c>
      <c r="R571" s="563">
        <f t="shared" ca="1" si="44"/>
        <v>1</v>
      </c>
      <c r="S571" s="565" t="s">
        <v>1123</v>
      </c>
    </row>
    <row r="572" spans="2:19" ht="51.75" customHeight="1" x14ac:dyDescent="0.25">
      <c r="B572" s="859">
        <v>42059</v>
      </c>
      <c r="C572" s="558" t="s">
        <v>2349</v>
      </c>
      <c r="D572" s="558"/>
      <c r="E572" s="565" t="s">
        <v>1162</v>
      </c>
      <c r="F572" s="548" t="s">
        <v>1163</v>
      </c>
      <c r="G572" s="559" t="s">
        <v>1164</v>
      </c>
      <c r="H572" s="548" t="s">
        <v>1165</v>
      </c>
      <c r="I572" s="548" t="s">
        <v>764</v>
      </c>
      <c r="J572" s="548" t="s">
        <v>19</v>
      </c>
      <c r="K572" s="570">
        <v>9815.2000000000007</v>
      </c>
      <c r="L572" s="570">
        <v>44.694200000000002</v>
      </c>
      <c r="M572" s="552">
        <f t="shared" si="40"/>
        <v>219.60791333103626</v>
      </c>
      <c r="N572" s="562">
        <v>60</v>
      </c>
      <c r="O572" s="563">
        <f t="shared" si="41"/>
        <v>163.58666666666667</v>
      </c>
      <c r="P572" s="564">
        <f t="shared" ca="1" si="42"/>
        <v>126</v>
      </c>
      <c r="Q572" s="552">
        <f t="shared" ca="1" si="43"/>
        <v>-10796.720000000001</v>
      </c>
      <c r="R572" s="563">
        <f t="shared" ca="1" si="44"/>
        <v>1</v>
      </c>
      <c r="S572" s="565" t="s">
        <v>1151</v>
      </c>
    </row>
    <row r="573" spans="2:19" ht="39.950000000000003" customHeight="1" x14ac:dyDescent="0.25">
      <c r="B573" s="859">
        <v>42079</v>
      </c>
      <c r="C573" s="558" t="s">
        <v>2349</v>
      </c>
      <c r="D573" s="558"/>
      <c r="E573" s="565" t="s">
        <v>1166</v>
      </c>
      <c r="F573" s="548" t="s">
        <v>1167</v>
      </c>
      <c r="G573" s="559" t="s">
        <v>1168</v>
      </c>
      <c r="H573" s="548" t="s">
        <v>1169</v>
      </c>
      <c r="I573" s="548" t="s">
        <v>5516</v>
      </c>
      <c r="J573" s="548" t="s">
        <v>19</v>
      </c>
      <c r="K573" s="570">
        <v>25172.3</v>
      </c>
      <c r="L573" s="570">
        <v>44.6233</v>
      </c>
      <c r="M573" s="552">
        <f t="shared" si="40"/>
        <v>564.10664383853282</v>
      </c>
      <c r="N573" s="562">
        <v>60</v>
      </c>
      <c r="O573" s="563">
        <f t="shared" si="41"/>
        <v>419.5383333333333</v>
      </c>
      <c r="P573" s="564">
        <f t="shared" ca="1" si="42"/>
        <v>126</v>
      </c>
      <c r="Q573" s="552">
        <f t="shared" ca="1" si="43"/>
        <v>-27689.529999999995</v>
      </c>
      <c r="R573" s="563">
        <f t="shared" ca="1" si="44"/>
        <v>1</v>
      </c>
      <c r="S573" s="565" t="s">
        <v>1170</v>
      </c>
    </row>
    <row r="574" spans="2:19" ht="39.950000000000003" customHeight="1" x14ac:dyDescent="0.25">
      <c r="B574" s="859">
        <v>42087</v>
      </c>
      <c r="C574" s="558" t="s">
        <v>2349</v>
      </c>
      <c r="D574" s="558"/>
      <c r="E574" s="565" t="s">
        <v>1178</v>
      </c>
      <c r="F574" s="548" t="s">
        <v>1179</v>
      </c>
      <c r="G574" s="559" t="s">
        <v>1180</v>
      </c>
      <c r="H574" s="548" t="s">
        <v>1181</v>
      </c>
      <c r="I574" s="548" t="s">
        <v>764</v>
      </c>
      <c r="J574" s="548" t="s">
        <v>19</v>
      </c>
      <c r="K574" s="570">
        <v>3822</v>
      </c>
      <c r="L574" s="570">
        <v>44.629600000000003</v>
      </c>
      <c r="M574" s="552">
        <f t="shared" si="40"/>
        <v>85.638231129116093</v>
      </c>
      <c r="N574" s="562">
        <v>60</v>
      </c>
      <c r="O574" s="563">
        <f t="shared" si="41"/>
        <v>63.7</v>
      </c>
      <c r="P574" s="564">
        <f t="shared" ca="1" si="42"/>
        <v>125</v>
      </c>
      <c r="Q574" s="552">
        <f t="shared" ca="1" si="43"/>
        <v>-4140.5</v>
      </c>
      <c r="R574" s="563">
        <f t="shared" ca="1" si="44"/>
        <v>1</v>
      </c>
      <c r="S574" s="565" t="s">
        <v>1182</v>
      </c>
    </row>
    <row r="575" spans="2:19" ht="39.950000000000003" customHeight="1" x14ac:dyDescent="0.25">
      <c r="B575" s="859">
        <v>42087</v>
      </c>
      <c r="C575" s="558" t="s">
        <v>2349</v>
      </c>
      <c r="D575" s="558"/>
      <c r="E575" s="565" t="s">
        <v>1171</v>
      </c>
      <c r="F575" s="548" t="s">
        <v>1172</v>
      </c>
      <c r="G575" s="559" t="s">
        <v>1173</v>
      </c>
      <c r="H575" s="548" t="s">
        <v>28</v>
      </c>
      <c r="I575" s="548" t="s">
        <v>764</v>
      </c>
      <c r="J575" s="548" t="s">
        <v>19</v>
      </c>
      <c r="K575" s="570">
        <v>7100</v>
      </c>
      <c r="L575" s="570">
        <v>44.6843</v>
      </c>
      <c r="M575" s="552">
        <f t="shared" si="40"/>
        <v>158.89249691726175</v>
      </c>
      <c r="N575" s="562">
        <v>60</v>
      </c>
      <c r="O575" s="563">
        <f t="shared" si="41"/>
        <v>118.33333333333333</v>
      </c>
      <c r="P575" s="564">
        <f t="shared" ca="1" si="42"/>
        <v>125</v>
      </c>
      <c r="Q575" s="552">
        <f t="shared" ca="1" si="43"/>
        <v>-7691.6666666666661</v>
      </c>
      <c r="R575" s="563">
        <f t="shared" ca="1" si="44"/>
        <v>1</v>
      </c>
      <c r="S575" s="565" t="s">
        <v>1174</v>
      </c>
    </row>
    <row r="576" spans="2:19" ht="38.25" customHeight="1" x14ac:dyDescent="0.25">
      <c r="B576" s="859">
        <v>42087</v>
      </c>
      <c r="C576" s="558" t="s">
        <v>2349</v>
      </c>
      <c r="D576" s="558"/>
      <c r="E576" s="565" t="s">
        <v>1175</v>
      </c>
      <c r="F576" s="548" t="s">
        <v>1176</v>
      </c>
      <c r="G576" s="559" t="s">
        <v>1173</v>
      </c>
      <c r="H576" s="548" t="s">
        <v>28</v>
      </c>
      <c r="I576" s="548" t="s">
        <v>764</v>
      </c>
      <c r="J576" s="548" t="s">
        <v>19</v>
      </c>
      <c r="K576" s="570">
        <v>7100</v>
      </c>
      <c r="L576" s="570">
        <v>44.629600000000003</v>
      </c>
      <c r="M576" s="552">
        <f t="shared" si="40"/>
        <v>159.08724254754691</v>
      </c>
      <c r="N576" s="562">
        <v>60</v>
      </c>
      <c r="O576" s="563">
        <f t="shared" si="41"/>
        <v>118.33333333333333</v>
      </c>
      <c r="P576" s="564">
        <f t="shared" ca="1" si="42"/>
        <v>125</v>
      </c>
      <c r="Q576" s="552">
        <f t="shared" ca="1" si="43"/>
        <v>-7691.6666666666661</v>
      </c>
      <c r="R576" s="563">
        <f t="shared" ca="1" si="44"/>
        <v>1</v>
      </c>
      <c r="S576" s="565" t="s">
        <v>1177</v>
      </c>
    </row>
    <row r="577" spans="2:19" ht="59.25" customHeight="1" x14ac:dyDescent="0.25">
      <c r="B577" s="859">
        <v>42142</v>
      </c>
      <c r="C577" s="558" t="s">
        <v>2349</v>
      </c>
      <c r="D577" s="558"/>
      <c r="E577" s="565" t="s">
        <v>1183</v>
      </c>
      <c r="F577" s="548" t="s">
        <v>1194</v>
      </c>
      <c r="G577" s="559" t="s">
        <v>1195</v>
      </c>
      <c r="H577" s="548" t="s">
        <v>28</v>
      </c>
      <c r="I577" s="548" t="s">
        <v>4385</v>
      </c>
      <c r="J577" s="548" t="s">
        <v>4386</v>
      </c>
      <c r="K577" s="570">
        <v>57424.990000000005</v>
      </c>
      <c r="L577" s="570">
        <v>44.754199999999997</v>
      </c>
      <c r="M577" s="552">
        <f t="shared" si="40"/>
        <v>1283.1195731350356</v>
      </c>
      <c r="N577" s="562">
        <v>60</v>
      </c>
      <c r="O577" s="563">
        <f t="shared" si="41"/>
        <v>957.08316666666678</v>
      </c>
      <c r="P577" s="564">
        <f t="shared" ca="1" si="42"/>
        <v>124</v>
      </c>
      <c r="Q577" s="552">
        <f t="shared" ca="1" si="43"/>
        <v>-61253.322666666674</v>
      </c>
      <c r="R577" s="563">
        <f t="shared" ca="1" si="44"/>
        <v>1</v>
      </c>
      <c r="S577" s="565" t="s">
        <v>1186</v>
      </c>
    </row>
    <row r="578" spans="2:19" ht="50.25" customHeight="1" x14ac:dyDescent="0.25">
      <c r="B578" s="859">
        <v>42142</v>
      </c>
      <c r="C578" s="558" t="s">
        <v>2349</v>
      </c>
      <c r="D578" s="558"/>
      <c r="E578" s="565" t="s">
        <v>1183</v>
      </c>
      <c r="F578" s="548" t="s">
        <v>1188</v>
      </c>
      <c r="G578" s="559" t="s">
        <v>1189</v>
      </c>
      <c r="H578" s="548" t="s">
        <v>1190</v>
      </c>
      <c r="I578" s="548" t="s">
        <v>45</v>
      </c>
      <c r="J578" s="548" t="s">
        <v>46</v>
      </c>
      <c r="K578" s="570">
        <v>25500</v>
      </c>
      <c r="L578" s="570">
        <v>44.754199999999997</v>
      </c>
      <c r="M578" s="552">
        <f t="shared" si="40"/>
        <v>569.77892577679859</v>
      </c>
      <c r="N578" s="562">
        <v>60</v>
      </c>
      <c r="O578" s="563">
        <f t="shared" si="41"/>
        <v>425</v>
      </c>
      <c r="P578" s="564">
        <f t="shared" ca="1" si="42"/>
        <v>124</v>
      </c>
      <c r="Q578" s="552">
        <f t="shared" ca="1" si="43"/>
        <v>-27200</v>
      </c>
      <c r="R578" s="563">
        <f t="shared" ca="1" si="44"/>
        <v>1</v>
      </c>
      <c r="S578" s="565" t="s">
        <v>1186</v>
      </c>
    </row>
    <row r="579" spans="2:19" ht="102" customHeight="1" x14ac:dyDescent="0.25">
      <c r="B579" s="859">
        <v>42142</v>
      </c>
      <c r="C579" s="558" t="s">
        <v>2349</v>
      </c>
      <c r="D579" s="558"/>
      <c r="E579" s="565" t="s">
        <v>1183</v>
      </c>
      <c r="F579" s="548" t="s">
        <v>1184</v>
      </c>
      <c r="G579" s="559" t="s">
        <v>1185</v>
      </c>
      <c r="H579" s="548" t="s">
        <v>28</v>
      </c>
      <c r="I579" s="548" t="s">
        <v>60</v>
      </c>
      <c r="J579" s="548" t="s">
        <v>19</v>
      </c>
      <c r="K579" s="570">
        <v>18025</v>
      </c>
      <c r="L579" s="570">
        <v>44.754199999999997</v>
      </c>
      <c r="M579" s="552">
        <f t="shared" si="40"/>
        <v>402.75549557359983</v>
      </c>
      <c r="N579" s="562">
        <v>60</v>
      </c>
      <c r="O579" s="563">
        <f t="shared" si="41"/>
        <v>300.41666666666669</v>
      </c>
      <c r="P579" s="564">
        <f t="shared" ca="1" si="42"/>
        <v>124</v>
      </c>
      <c r="Q579" s="552">
        <f t="shared" ca="1" si="43"/>
        <v>-19226.666666666672</v>
      </c>
      <c r="R579" s="563">
        <f t="shared" ca="1" si="44"/>
        <v>1</v>
      </c>
      <c r="S579" s="565" t="s">
        <v>1186</v>
      </c>
    </row>
    <row r="580" spans="2:19" ht="50.1" customHeight="1" x14ac:dyDescent="0.25">
      <c r="B580" s="859">
        <v>42142</v>
      </c>
      <c r="C580" s="558" t="s">
        <v>2349</v>
      </c>
      <c r="D580" s="558"/>
      <c r="E580" s="565" t="s">
        <v>1183</v>
      </c>
      <c r="F580" s="548" t="s">
        <v>1187</v>
      </c>
      <c r="G580" s="559" t="s">
        <v>1185</v>
      </c>
      <c r="H580" s="548" t="s">
        <v>28</v>
      </c>
      <c r="I580" s="548" t="s">
        <v>60</v>
      </c>
      <c r="J580" s="548" t="s">
        <v>19</v>
      </c>
      <c r="K580" s="570">
        <v>18025</v>
      </c>
      <c r="L580" s="570">
        <v>44.754199999999997</v>
      </c>
      <c r="M580" s="552">
        <f t="shared" si="40"/>
        <v>402.75549557359983</v>
      </c>
      <c r="N580" s="562">
        <v>60</v>
      </c>
      <c r="O580" s="563">
        <f t="shared" si="41"/>
        <v>300.41666666666669</v>
      </c>
      <c r="P580" s="564">
        <f t="shared" ca="1" si="42"/>
        <v>124</v>
      </c>
      <c r="Q580" s="552">
        <f t="shared" ca="1" si="43"/>
        <v>-19226.666666666672</v>
      </c>
      <c r="R580" s="563">
        <f t="shared" ca="1" si="44"/>
        <v>1</v>
      </c>
      <c r="S580" s="565" t="s">
        <v>1186</v>
      </c>
    </row>
    <row r="581" spans="2:19" ht="50.1" customHeight="1" x14ac:dyDescent="0.25">
      <c r="B581" s="859">
        <v>42142</v>
      </c>
      <c r="C581" s="558" t="s">
        <v>2349</v>
      </c>
      <c r="D581" s="558"/>
      <c r="E581" s="565" t="s">
        <v>1183</v>
      </c>
      <c r="F581" s="548" t="s">
        <v>1191</v>
      </c>
      <c r="G581" s="559" t="s">
        <v>1185</v>
      </c>
      <c r="H581" s="548" t="s">
        <v>1192</v>
      </c>
      <c r="I581" s="548" t="s">
        <v>23</v>
      </c>
      <c r="J581" s="548" t="s">
        <v>1193</v>
      </c>
      <c r="K581" s="570">
        <v>18025</v>
      </c>
      <c r="L581" s="570">
        <v>44.754199999999997</v>
      </c>
      <c r="M581" s="552">
        <f t="shared" si="40"/>
        <v>402.75549557359983</v>
      </c>
      <c r="N581" s="562">
        <v>60</v>
      </c>
      <c r="O581" s="563">
        <f t="shared" si="41"/>
        <v>300.41666666666669</v>
      </c>
      <c r="P581" s="564">
        <f t="shared" ca="1" si="42"/>
        <v>124</v>
      </c>
      <c r="Q581" s="552">
        <f t="shared" ca="1" si="43"/>
        <v>-19226.666666666672</v>
      </c>
      <c r="R581" s="563">
        <f t="shared" ca="1" si="44"/>
        <v>1</v>
      </c>
      <c r="S581" s="565" t="s">
        <v>1186</v>
      </c>
    </row>
    <row r="582" spans="2:19" ht="50.1" customHeight="1" x14ac:dyDescent="0.25">
      <c r="B582" s="859">
        <v>42142</v>
      </c>
      <c r="C582" s="558" t="s">
        <v>2349</v>
      </c>
      <c r="D582" s="558"/>
      <c r="E582" s="565" t="s">
        <v>1183</v>
      </c>
      <c r="F582" s="548" t="s">
        <v>1196</v>
      </c>
      <c r="G582" s="559" t="s">
        <v>1185</v>
      </c>
      <c r="H582" s="548" t="s">
        <v>1197</v>
      </c>
      <c r="I582" s="548" t="s">
        <v>23</v>
      </c>
      <c r="J582" s="548" t="s">
        <v>1193</v>
      </c>
      <c r="K582" s="570">
        <v>18025</v>
      </c>
      <c r="L582" s="570">
        <v>44.754199999999997</v>
      </c>
      <c r="M582" s="552">
        <f t="shared" si="40"/>
        <v>402.75549557359983</v>
      </c>
      <c r="N582" s="562">
        <v>60</v>
      </c>
      <c r="O582" s="563">
        <f t="shared" si="41"/>
        <v>300.41666666666669</v>
      </c>
      <c r="P582" s="564">
        <f t="shared" ca="1" si="42"/>
        <v>124</v>
      </c>
      <c r="Q582" s="552">
        <f t="shared" ca="1" si="43"/>
        <v>-19226.666666666672</v>
      </c>
      <c r="R582" s="563">
        <f t="shared" ca="1" si="44"/>
        <v>1</v>
      </c>
      <c r="S582" s="565" t="s">
        <v>1186</v>
      </c>
    </row>
    <row r="583" spans="2:19" ht="50.1" customHeight="1" x14ac:dyDescent="0.25">
      <c r="B583" s="859">
        <v>42144</v>
      </c>
      <c r="C583" s="558" t="s">
        <v>2349</v>
      </c>
      <c r="D583" s="558"/>
      <c r="E583" s="565" t="s">
        <v>1198</v>
      </c>
      <c r="F583" s="548" t="s">
        <v>1213</v>
      </c>
      <c r="G583" s="559" t="s">
        <v>423</v>
      </c>
      <c r="H583" s="548" t="s">
        <v>28</v>
      </c>
      <c r="I583" s="548" t="s">
        <v>45</v>
      </c>
      <c r="J583" s="548" t="s">
        <v>46</v>
      </c>
      <c r="K583" s="570">
        <v>3209.6</v>
      </c>
      <c r="L583" s="570">
        <v>44.748199999999997</v>
      </c>
      <c r="M583" s="552">
        <f t="shared" si="40"/>
        <v>71.72579008764599</v>
      </c>
      <c r="N583" s="562">
        <v>60</v>
      </c>
      <c r="O583" s="563">
        <f t="shared" si="41"/>
        <v>53.493333333333332</v>
      </c>
      <c r="P583" s="564">
        <f t="shared" ca="1" si="42"/>
        <v>123</v>
      </c>
      <c r="Q583" s="552">
        <f t="shared" ca="1" si="43"/>
        <v>-3370.0800000000004</v>
      </c>
      <c r="R583" s="563">
        <f t="shared" ca="1" si="44"/>
        <v>1</v>
      </c>
      <c r="S583" s="565" t="s">
        <v>1201</v>
      </c>
    </row>
    <row r="584" spans="2:19" ht="50.1" customHeight="1" x14ac:dyDescent="0.25">
      <c r="B584" s="859">
        <v>42144</v>
      </c>
      <c r="C584" s="558" t="s">
        <v>2349</v>
      </c>
      <c r="D584" s="558"/>
      <c r="E584" s="565" t="s">
        <v>1198</v>
      </c>
      <c r="F584" s="548" t="s">
        <v>1214</v>
      </c>
      <c r="G584" s="559" t="s">
        <v>423</v>
      </c>
      <c r="H584" s="548" t="s">
        <v>28</v>
      </c>
      <c r="I584" s="548" t="s">
        <v>45</v>
      </c>
      <c r="J584" s="548" t="s">
        <v>46</v>
      </c>
      <c r="K584" s="570">
        <v>3209.6</v>
      </c>
      <c r="L584" s="570">
        <v>44.748199999999997</v>
      </c>
      <c r="M584" s="552">
        <f t="shared" ref="M584:M647" si="45">+K584/L584</f>
        <v>71.72579008764599</v>
      </c>
      <c r="N584" s="562">
        <v>60</v>
      </c>
      <c r="O584" s="563">
        <f t="shared" ref="O584:O647" si="46">IF(AND(K584&lt;&gt;0,N584&lt;&gt;0),K584/N584,0)</f>
        <v>53.493333333333332</v>
      </c>
      <c r="P584" s="564">
        <f t="shared" ref="P584:P647" ca="1" si="47">IF(B584&lt;&gt;0,(ROUND((NOW()-B584)/30,0)),0)</f>
        <v>123</v>
      </c>
      <c r="Q584" s="552">
        <f t="shared" ref="Q584:Q647" ca="1" si="48">IF(OR(K584=0,N584=0,P584=0),0,K584-(O584*P584))</f>
        <v>-3370.0800000000004</v>
      </c>
      <c r="R584" s="563">
        <f t="shared" ref="R584:R647" ca="1" si="49">IF(Q584&lt;1,1,Q584)</f>
        <v>1</v>
      </c>
      <c r="S584" s="565" t="s">
        <v>1201</v>
      </c>
    </row>
    <row r="585" spans="2:19" ht="50.1" customHeight="1" x14ac:dyDescent="0.25">
      <c r="B585" s="859">
        <v>42144</v>
      </c>
      <c r="C585" s="558" t="s">
        <v>2349</v>
      </c>
      <c r="D585" s="558"/>
      <c r="E585" s="565" t="s">
        <v>1198</v>
      </c>
      <c r="F585" s="548" t="s">
        <v>1251</v>
      </c>
      <c r="G585" s="559" t="s">
        <v>423</v>
      </c>
      <c r="H585" s="548" t="s">
        <v>28</v>
      </c>
      <c r="I585" s="548" t="s">
        <v>4385</v>
      </c>
      <c r="J585" s="548" t="s">
        <v>4386</v>
      </c>
      <c r="K585" s="570">
        <v>3209.6</v>
      </c>
      <c r="L585" s="570">
        <v>44.748199999999997</v>
      </c>
      <c r="M585" s="552">
        <f t="shared" si="45"/>
        <v>71.72579008764599</v>
      </c>
      <c r="N585" s="562">
        <v>60</v>
      </c>
      <c r="O585" s="563">
        <f t="shared" si="46"/>
        <v>53.493333333333332</v>
      </c>
      <c r="P585" s="564">
        <f t="shared" ca="1" si="47"/>
        <v>123</v>
      </c>
      <c r="Q585" s="552">
        <f t="shared" ca="1" si="48"/>
        <v>-3370.0800000000004</v>
      </c>
      <c r="R585" s="563">
        <f t="shared" ca="1" si="49"/>
        <v>1</v>
      </c>
      <c r="S585" s="565" t="s">
        <v>1201</v>
      </c>
    </row>
    <row r="586" spans="2:19" ht="50.1" customHeight="1" x14ac:dyDescent="0.25">
      <c r="B586" s="859">
        <v>42144</v>
      </c>
      <c r="C586" s="558" t="s">
        <v>2349</v>
      </c>
      <c r="D586" s="558"/>
      <c r="E586" s="565" t="s">
        <v>1198</v>
      </c>
      <c r="F586" s="548" t="s">
        <v>1211</v>
      </c>
      <c r="G586" s="559" t="s">
        <v>1212</v>
      </c>
      <c r="H586" s="548" t="s">
        <v>28</v>
      </c>
      <c r="I586" s="548" t="s">
        <v>45</v>
      </c>
      <c r="J586" s="548" t="s">
        <v>46</v>
      </c>
      <c r="K586" s="570">
        <v>7174.4</v>
      </c>
      <c r="L586" s="570">
        <v>44.748199999999997</v>
      </c>
      <c r="M586" s="552">
        <f t="shared" si="45"/>
        <v>160.32823666650279</v>
      </c>
      <c r="N586" s="562">
        <v>60</v>
      </c>
      <c r="O586" s="563">
        <f t="shared" si="46"/>
        <v>119.57333333333332</v>
      </c>
      <c r="P586" s="564">
        <f t="shared" ca="1" si="47"/>
        <v>123</v>
      </c>
      <c r="Q586" s="552">
        <f t="shared" ca="1" si="48"/>
        <v>-7533.119999999999</v>
      </c>
      <c r="R586" s="563">
        <f t="shared" ca="1" si="49"/>
        <v>1</v>
      </c>
      <c r="S586" s="565" t="s">
        <v>1201</v>
      </c>
    </row>
    <row r="587" spans="2:19" ht="50.1" customHeight="1" x14ac:dyDescent="0.25">
      <c r="B587" s="859">
        <v>42144</v>
      </c>
      <c r="C587" s="558" t="s">
        <v>2349</v>
      </c>
      <c r="D587" s="558"/>
      <c r="E587" s="565" t="s">
        <v>1198</v>
      </c>
      <c r="F587" s="548" t="s">
        <v>1250</v>
      </c>
      <c r="G587" s="559" t="s">
        <v>1212</v>
      </c>
      <c r="H587" s="548" t="s">
        <v>28</v>
      </c>
      <c r="I587" s="548" t="s">
        <v>4385</v>
      </c>
      <c r="J587" s="548" t="s">
        <v>4386</v>
      </c>
      <c r="K587" s="570">
        <v>7174.4</v>
      </c>
      <c r="L587" s="570">
        <v>44.748199999999997</v>
      </c>
      <c r="M587" s="552">
        <f t="shared" si="45"/>
        <v>160.32823666650279</v>
      </c>
      <c r="N587" s="562">
        <v>60</v>
      </c>
      <c r="O587" s="563">
        <f t="shared" si="46"/>
        <v>119.57333333333332</v>
      </c>
      <c r="P587" s="564">
        <f t="shared" ca="1" si="47"/>
        <v>123</v>
      </c>
      <c r="Q587" s="552">
        <f t="shared" ca="1" si="48"/>
        <v>-7533.119999999999</v>
      </c>
      <c r="R587" s="563">
        <f t="shared" ca="1" si="49"/>
        <v>1</v>
      </c>
      <c r="S587" s="565" t="s">
        <v>1201</v>
      </c>
    </row>
    <row r="588" spans="2:19" ht="50.1" customHeight="1" x14ac:dyDescent="0.25">
      <c r="B588" s="859">
        <v>42144</v>
      </c>
      <c r="C588" s="558" t="s">
        <v>2349</v>
      </c>
      <c r="D588" s="558"/>
      <c r="E588" s="565" t="s">
        <v>1198</v>
      </c>
      <c r="F588" s="548" t="s">
        <v>1206</v>
      </c>
      <c r="G588" s="559" t="s">
        <v>1207</v>
      </c>
      <c r="H588" s="548" t="s">
        <v>28</v>
      </c>
      <c r="I588" s="548" t="s">
        <v>45</v>
      </c>
      <c r="J588" s="548" t="s">
        <v>46</v>
      </c>
      <c r="K588" s="570">
        <v>1223.6600000000001</v>
      </c>
      <c r="L588" s="570">
        <v>44.748199999999997</v>
      </c>
      <c r="M588" s="552">
        <f t="shared" si="45"/>
        <v>27.345457470915036</v>
      </c>
      <c r="N588" s="562">
        <v>60</v>
      </c>
      <c r="O588" s="563">
        <f t="shared" si="46"/>
        <v>20.394333333333336</v>
      </c>
      <c r="P588" s="564">
        <f t="shared" ca="1" si="47"/>
        <v>123</v>
      </c>
      <c r="Q588" s="552">
        <f t="shared" ca="1" si="48"/>
        <v>-1284.8430000000001</v>
      </c>
      <c r="R588" s="563">
        <f t="shared" ca="1" si="49"/>
        <v>1</v>
      </c>
      <c r="S588" s="565" t="s">
        <v>1201</v>
      </c>
    </row>
    <row r="589" spans="2:19" ht="50.1" customHeight="1" x14ac:dyDescent="0.25">
      <c r="B589" s="859">
        <v>42144</v>
      </c>
      <c r="C589" s="558" t="s">
        <v>2349</v>
      </c>
      <c r="D589" s="558"/>
      <c r="E589" s="565" t="s">
        <v>1198</v>
      </c>
      <c r="F589" s="548" t="s">
        <v>1208</v>
      </c>
      <c r="G589" s="559" t="s">
        <v>1207</v>
      </c>
      <c r="H589" s="548" t="s">
        <v>28</v>
      </c>
      <c r="I589" s="548" t="s">
        <v>45</v>
      </c>
      <c r="J589" s="548" t="s">
        <v>46</v>
      </c>
      <c r="K589" s="570">
        <v>1223.6600000000001</v>
      </c>
      <c r="L589" s="570">
        <v>44.748199999999997</v>
      </c>
      <c r="M589" s="552">
        <f t="shared" si="45"/>
        <v>27.345457470915036</v>
      </c>
      <c r="N589" s="562">
        <v>60</v>
      </c>
      <c r="O589" s="563">
        <f t="shared" si="46"/>
        <v>20.394333333333336</v>
      </c>
      <c r="P589" s="564">
        <f t="shared" ca="1" si="47"/>
        <v>123</v>
      </c>
      <c r="Q589" s="552">
        <f t="shared" ca="1" si="48"/>
        <v>-1284.8430000000001</v>
      </c>
      <c r="R589" s="563">
        <f t="shared" ca="1" si="49"/>
        <v>1</v>
      </c>
      <c r="S589" s="565" t="s">
        <v>1201</v>
      </c>
    </row>
    <row r="590" spans="2:19" ht="50.1" customHeight="1" x14ac:dyDescent="0.25">
      <c r="B590" s="859">
        <v>42144</v>
      </c>
      <c r="C590" s="558" t="s">
        <v>2349</v>
      </c>
      <c r="D590" s="558"/>
      <c r="E590" s="565" t="s">
        <v>1198</v>
      </c>
      <c r="F590" s="548" t="s">
        <v>1209</v>
      </c>
      <c r="G590" s="559" t="s">
        <v>1207</v>
      </c>
      <c r="H590" s="548" t="s">
        <v>28</v>
      </c>
      <c r="I590" s="548" t="s">
        <v>45</v>
      </c>
      <c r="J590" s="548" t="s">
        <v>46</v>
      </c>
      <c r="K590" s="570">
        <v>1223.6600000000001</v>
      </c>
      <c r="L590" s="570">
        <v>44.748199999999997</v>
      </c>
      <c r="M590" s="552">
        <f t="shared" si="45"/>
        <v>27.345457470915036</v>
      </c>
      <c r="N590" s="562">
        <v>60</v>
      </c>
      <c r="O590" s="563">
        <f t="shared" si="46"/>
        <v>20.394333333333336</v>
      </c>
      <c r="P590" s="564">
        <f t="shared" ca="1" si="47"/>
        <v>123</v>
      </c>
      <c r="Q590" s="552">
        <f t="shared" ca="1" si="48"/>
        <v>-1284.8430000000001</v>
      </c>
      <c r="R590" s="563">
        <f t="shared" ca="1" si="49"/>
        <v>1</v>
      </c>
      <c r="S590" s="565" t="s">
        <v>1201</v>
      </c>
    </row>
    <row r="591" spans="2:19" ht="50.1" customHeight="1" x14ac:dyDescent="0.25">
      <c r="B591" s="859">
        <v>42144</v>
      </c>
      <c r="C591" s="558" t="s">
        <v>2349</v>
      </c>
      <c r="D591" s="558"/>
      <c r="E591" s="565" t="s">
        <v>1198</v>
      </c>
      <c r="F591" s="548" t="s">
        <v>1210</v>
      </c>
      <c r="G591" s="559" t="s">
        <v>1207</v>
      </c>
      <c r="H591" s="548" t="s">
        <v>28</v>
      </c>
      <c r="I591" s="548" t="s">
        <v>45</v>
      </c>
      <c r="J591" s="548" t="s">
        <v>46</v>
      </c>
      <c r="K591" s="570">
        <v>1223.6600000000001</v>
      </c>
      <c r="L591" s="570">
        <v>44.748199999999997</v>
      </c>
      <c r="M591" s="552">
        <f t="shared" si="45"/>
        <v>27.345457470915036</v>
      </c>
      <c r="N591" s="562">
        <v>60</v>
      </c>
      <c r="O591" s="563">
        <f t="shared" si="46"/>
        <v>20.394333333333336</v>
      </c>
      <c r="P591" s="564">
        <f t="shared" ca="1" si="47"/>
        <v>123</v>
      </c>
      <c r="Q591" s="552">
        <f t="shared" ca="1" si="48"/>
        <v>-1284.8430000000001</v>
      </c>
      <c r="R591" s="563">
        <f t="shared" ca="1" si="49"/>
        <v>1</v>
      </c>
      <c r="S591" s="565" t="s">
        <v>1201</v>
      </c>
    </row>
    <row r="592" spans="2:19" ht="50.1" customHeight="1" x14ac:dyDescent="0.25">
      <c r="B592" s="859">
        <v>42144</v>
      </c>
      <c r="C592" s="558" t="s">
        <v>2349</v>
      </c>
      <c r="D592" s="558"/>
      <c r="E592" s="565" t="s">
        <v>1198</v>
      </c>
      <c r="F592" s="548" t="s">
        <v>1242</v>
      </c>
      <c r="G592" s="559" t="s">
        <v>1207</v>
      </c>
      <c r="H592" s="548" t="s">
        <v>28</v>
      </c>
      <c r="I592" s="548" t="s">
        <v>4385</v>
      </c>
      <c r="J592" s="548" t="s">
        <v>4386</v>
      </c>
      <c r="K592" s="570">
        <v>1223.6600000000001</v>
      </c>
      <c r="L592" s="570">
        <v>44.748199999999997</v>
      </c>
      <c r="M592" s="552">
        <f t="shared" si="45"/>
        <v>27.345457470915036</v>
      </c>
      <c r="N592" s="562">
        <v>60</v>
      </c>
      <c r="O592" s="563">
        <f t="shared" si="46"/>
        <v>20.394333333333336</v>
      </c>
      <c r="P592" s="564">
        <f t="shared" ca="1" si="47"/>
        <v>123</v>
      </c>
      <c r="Q592" s="552">
        <f t="shared" ca="1" si="48"/>
        <v>-1284.8430000000001</v>
      </c>
      <c r="R592" s="563">
        <f t="shared" ca="1" si="49"/>
        <v>1</v>
      </c>
      <c r="S592" s="565" t="s">
        <v>1201</v>
      </c>
    </row>
    <row r="593" spans="2:19" ht="50.1" customHeight="1" x14ac:dyDescent="0.25">
      <c r="B593" s="859">
        <v>42144</v>
      </c>
      <c r="C593" s="558" t="s">
        <v>2349</v>
      </c>
      <c r="D593" s="558"/>
      <c r="E593" s="565" t="s">
        <v>1198</v>
      </c>
      <c r="F593" s="548" t="s">
        <v>1243</v>
      </c>
      <c r="G593" s="559" t="s">
        <v>1207</v>
      </c>
      <c r="H593" s="548" t="s">
        <v>28</v>
      </c>
      <c r="I593" s="548" t="s">
        <v>4385</v>
      </c>
      <c r="J593" s="548" t="s">
        <v>4386</v>
      </c>
      <c r="K593" s="570">
        <v>1223.6600000000001</v>
      </c>
      <c r="L593" s="570">
        <v>44.748199999999997</v>
      </c>
      <c r="M593" s="552">
        <f t="shared" si="45"/>
        <v>27.345457470915036</v>
      </c>
      <c r="N593" s="562">
        <v>60</v>
      </c>
      <c r="O593" s="563">
        <f t="shared" si="46"/>
        <v>20.394333333333336</v>
      </c>
      <c r="P593" s="564">
        <f t="shared" ca="1" si="47"/>
        <v>123</v>
      </c>
      <c r="Q593" s="552">
        <f t="shared" ca="1" si="48"/>
        <v>-1284.8430000000001</v>
      </c>
      <c r="R593" s="563">
        <f t="shared" ca="1" si="49"/>
        <v>1</v>
      </c>
      <c r="S593" s="565" t="s">
        <v>1201</v>
      </c>
    </row>
    <row r="594" spans="2:19" ht="50.1" customHeight="1" x14ac:dyDescent="0.25">
      <c r="B594" s="859">
        <v>42144</v>
      </c>
      <c r="C594" s="558" t="s">
        <v>2349</v>
      </c>
      <c r="D594" s="558"/>
      <c r="E594" s="565" t="s">
        <v>1198</v>
      </c>
      <c r="F594" s="548" t="s">
        <v>1244</v>
      </c>
      <c r="G594" s="559" t="s">
        <v>1207</v>
      </c>
      <c r="H594" s="548" t="s">
        <v>28</v>
      </c>
      <c r="I594" s="548" t="s">
        <v>4385</v>
      </c>
      <c r="J594" s="548" t="s">
        <v>4386</v>
      </c>
      <c r="K594" s="570">
        <v>1223.6600000000001</v>
      </c>
      <c r="L594" s="570">
        <v>44.748199999999997</v>
      </c>
      <c r="M594" s="552">
        <f t="shared" si="45"/>
        <v>27.345457470915036</v>
      </c>
      <c r="N594" s="562">
        <v>60</v>
      </c>
      <c r="O594" s="563">
        <f t="shared" si="46"/>
        <v>20.394333333333336</v>
      </c>
      <c r="P594" s="564">
        <f t="shared" ca="1" si="47"/>
        <v>123</v>
      </c>
      <c r="Q594" s="552">
        <f t="shared" ca="1" si="48"/>
        <v>-1284.8430000000001</v>
      </c>
      <c r="R594" s="563">
        <f t="shared" ca="1" si="49"/>
        <v>1</v>
      </c>
      <c r="S594" s="565" t="s">
        <v>1201</v>
      </c>
    </row>
    <row r="595" spans="2:19" ht="50.1" customHeight="1" x14ac:dyDescent="0.25">
      <c r="B595" s="859">
        <v>42144</v>
      </c>
      <c r="C595" s="558" t="s">
        <v>2349</v>
      </c>
      <c r="D595" s="558"/>
      <c r="E595" s="565" t="s">
        <v>1198</v>
      </c>
      <c r="F595" s="548" t="s">
        <v>1245</v>
      </c>
      <c r="G595" s="559" t="s">
        <v>1207</v>
      </c>
      <c r="H595" s="548" t="s">
        <v>28</v>
      </c>
      <c r="I595" s="548" t="s">
        <v>4385</v>
      </c>
      <c r="J595" s="548" t="s">
        <v>4386</v>
      </c>
      <c r="K595" s="570">
        <v>1223.6600000000001</v>
      </c>
      <c r="L595" s="570">
        <v>44.748199999999997</v>
      </c>
      <c r="M595" s="552">
        <f t="shared" si="45"/>
        <v>27.345457470915036</v>
      </c>
      <c r="N595" s="562">
        <v>60</v>
      </c>
      <c r="O595" s="563">
        <f t="shared" si="46"/>
        <v>20.394333333333336</v>
      </c>
      <c r="P595" s="564">
        <f t="shared" ca="1" si="47"/>
        <v>123</v>
      </c>
      <c r="Q595" s="552">
        <f t="shared" ca="1" si="48"/>
        <v>-1284.8430000000001</v>
      </c>
      <c r="R595" s="563">
        <f t="shared" ca="1" si="49"/>
        <v>1</v>
      </c>
      <c r="S595" s="565" t="s">
        <v>1201</v>
      </c>
    </row>
    <row r="596" spans="2:19" ht="50.1" customHeight="1" x14ac:dyDescent="0.25">
      <c r="B596" s="859">
        <v>42144</v>
      </c>
      <c r="C596" s="558" t="s">
        <v>2349</v>
      </c>
      <c r="D596" s="558"/>
      <c r="E596" s="565" t="s">
        <v>1198</v>
      </c>
      <c r="F596" s="548" t="s">
        <v>1246</v>
      </c>
      <c r="G596" s="559" t="s">
        <v>1207</v>
      </c>
      <c r="H596" s="548" t="s">
        <v>28</v>
      </c>
      <c r="I596" s="548" t="s">
        <v>4385</v>
      </c>
      <c r="J596" s="548" t="s">
        <v>4386</v>
      </c>
      <c r="K596" s="570">
        <v>1223.6600000000001</v>
      </c>
      <c r="L596" s="570">
        <v>44.748199999999997</v>
      </c>
      <c r="M596" s="552">
        <f t="shared" si="45"/>
        <v>27.345457470915036</v>
      </c>
      <c r="N596" s="562">
        <v>60</v>
      </c>
      <c r="O596" s="563">
        <f t="shared" si="46"/>
        <v>20.394333333333336</v>
      </c>
      <c r="P596" s="564">
        <f t="shared" ca="1" si="47"/>
        <v>123</v>
      </c>
      <c r="Q596" s="552">
        <f t="shared" ca="1" si="48"/>
        <v>-1284.8430000000001</v>
      </c>
      <c r="R596" s="563">
        <f t="shared" ca="1" si="49"/>
        <v>1</v>
      </c>
      <c r="S596" s="565" t="s">
        <v>1201</v>
      </c>
    </row>
    <row r="597" spans="2:19" ht="50.1" customHeight="1" x14ac:dyDescent="0.25">
      <c r="B597" s="859">
        <v>42144</v>
      </c>
      <c r="C597" s="558" t="s">
        <v>2349</v>
      </c>
      <c r="D597" s="558"/>
      <c r="E597" s="565" t="s">
        <v>1198</v>
      </c>
      <c r="F597" s="548" t="s">
        <v>1247</v>
      </c>
      <c r="G597" s="559" t="s">
        <v>1207</v>
      </c>
      <c r="H597" s="548" t="s">
        <v>28</v>
      </c>
      <c r="I597" s="548" t="s">
        <v>4385</v>
      </c>
      <c r="J597" s="548" t="s">
        <v>4386</v>
      </c>
      <c r="K597" s="570">
        <v>1223.6600000000001</v>
      </c>
      <c r="L597" s="570">
        <v>44.748199999999997</v>
      </c>
      <c r="M597" s="552">
        <f t="shared" si="45"/>
        <v>27.345457470915036</v>
      </c>
      <c r="N597" s="562">
        <v>60</v>
      </c>
      <c r="O597" s="563">
        <f t="shared" si="46"/>
        <v>20.394333333333336</v>
      </c>
      <c r="P597" s="564">
        <f t="shared" ca="1" si="47"/>
        <v>123</v>
      </c>
      <c r="Q597" s="552">
        <f t="shared" ca="1" si="48"/>
        <v>-1284.8430000000001</v>
      </c>
      <c r="R597" s="563">
        <f t="shared" ca="1" si="49"/>
        <v>1</v>
      </c>
      <c r="S597" s="565" t="s">
        <v>1201</v>
      </c>
    </row>
    <row r="598" spans="2:19" ht="50.1" customHeight="1" x14ac:dyDescent="0.25">
      <c r="B598" s="859">
        <v>42144</v>
      </c>
      <c r="C598" s="558" t="s">
        <v>2349</v>
      </c>
      <c r="D598" s="558"/>
      <c r="E598" s="565" t="s">
        <v>1198</v>
      </c>
      <c r="F598" s="548" t="s">
        <v>1248</v>
      </c>
      <c r="G598" s="559" t="s">
        <v>1207</v>
      </c>
      <c r="H598" s="548" t="s">
        <v>28</v>
      </c>
      <c r="I598" s="548" t="s">
        <v>4385</v>
      </c>
      <c r="J598" s="548" t="s">
        <v>4386</v>
      </c>
      <c r="K598" s="570">
        <v>1223.6600000000001</v>
      </c>
      <c r="L598" s="570">
        <v>44.748199999999997</v>
      </c>
      <c r="M598" s="552">
        <f t="shared" si="45"/>
        <v>27.345457470915036</v>
      </c>
      <c r="N598" s="562">
        <v>60</v>
      </c>
      <c r="O598" s="563">
        <f t="shared" si="46"/>
        <v>20.394333333333336</v>
      </c>
      <c r="P598" s="564">
        <f t="shared" ca="1" si="47"/>
        <v>123</v>
      </c>
      <c r="Q598" s="552">
        <f t="shared" ca="1" si="48"/>
        <v>-1284.8430000000001</v>
      </c>
      <c r="R598" s="563">
        <f t="shared" ca="1" si="49"/>
        <v>1</v>
      </c>
      <c r="S598" s="565" t="s">
        <v>1201</v>
      </c>
    </row>
    <row r="599" spans="2:19" ht="50.1" customHeight="1" x14ac:dyDescent="0.25">
      <c r="B599" s="859">
        <v>42144</v>
      </c>
      <c r="C599" s="558" t="s">
        <v>2349</v>
      </c>
      <c r="D599" s="558"/>
      <c r="E599" s="565" t="s">
        <v>1198</v>
      </c>
      <c r="F599" s="548" t="s">
        <v>1249</v>
      </c>
      <c r="G599" s="559" t="s">
        <v>1207</v>
      </c>
      <c r="H599" s="548" t="s">
        <v>28</v>
      </c>
      <c r="I599" s="548" t="s">
        <v>4385</v>
      </c>
      <c r="J599" s="548" t="s">
        <v>4386</v>
      </c>
      <c r="K599" s="570">
        <v>1223.6600000000001</v>
      </c>
      <c r="L599" s="570">
        <v>44.748199999999997</v>
      </c>
      <c r="M599" s="552">
        <f t="shared" si="45"/>
        <v>27.345457470915036</v>
      </c>
      <c r="N599" s="562">
        <v>60</v>
      </c>
      <c r="O599" s="563">
        <f t="shared" si="46"/>
        <v>20.394333333333336</v>
      </c>
      <c r="P599" s="564">
        <f t="shared" ca="1" si="47"/>
        <v>123</v>
      </c>
      <c r="Q599" s="552">
        <f t="shared" ca="1" si="48"/>
        <v>-1284.8430000000001</v>
      </c>
      <c r="R599" s="563">
        <f t="shared" ca="1" si="49"/>
        <v>1</v>
      </c>
      <c r="S599" s="565" t="s">
        <v>1201</v>
      </c>
    </row>
    <row r="600" spans="2:19" ht="50.1" customHeight="1" x14ac:dyDescent="0.25">
      <c r="B600" s="859">
        <v>42144</v>
      </c>
      <c r="C600" s="558" t="s">
        <v>2349</v>
      </c>
      <c r="D600" s="558"/>
      <c r="E600" s="565" t="s">
        <v>1198</v>
      </c>
      <c r="F600" s="548" t="s">
        <v>1240</v>
      </c>
      <c r="G600" s="559" t="s">
        <v>1241</v>
      </c>
      <c r="H600" s="548" t="s">
        <v>28</v>
      </c>
      <c r="I600" s="548" t="s">
        <v>4385</v>
      </c>
      <c r="J600" s="548" t="s">
        <v>4386</v>
      </c>
      <c r="K600" s="570">
        <v>6332.18</v>
      </c>
      <c r="L600" s="570">
        <v>44.748199999999997</v>
      </c>
      <c r="M600" s="552">
        <f t="shared" si="45"/>
        <v>141.50692094877562</v>
      </c>
      <c r="N600" s="562">
        <v>60</v>
      </c>
      <c r="O600" s="563">
        <f t="shared" si="46"/>
        <v>105.53633333333333</v>
      </c>
      <c r="P600" s="564">
        <f t="shared" ca="1" si="47"/>
        <v>123</v>
      </c>
      <c r="Q600" s="552">
        <f t="shared" ca="1" si="48"/>
        <v>-6648.7889999999989</v>
      </c>
      <c r="R600" s="563">
        <f t="shared" ca="1" si="49"/>
        <v>1</v>
      </c>
      <c r="S600" s="565" t="s">
        <v>1201</v>
      </c>
    </row>
    <row r="601" spans="2:19" ht="50.1" customHeight="1" x14ac:dyDescent="0.25">
      <c r="B601" s="859">
        <v>42144</v>
      </c>
      <c r="C601" s="558" t="s">
        <v>2349</v>
      </c>
      <c r="D601" s="558"/>
      <c r="E601" s="565" t="s">
        <v>1198</v>
      </c>
      <c r="F601" s="548" t="s">
        <v>1204</v>
      </c>
      <c r="G601" s="559" t="s">
        <v>1205</v>
      </c>
      <c r="H601" s="548" t="s">
        <v>28</v>
      </c>
      <c r="I601" s="548" t="s">
        <v>45</v>
      </c>
      <c r="J601" s="548" t="s">
        <v>46</v>
      </c>
      <c r="K601" s="570">
        <v>10593.45</v>
      </c>
      <c r="L601" s="570">
        <v>44.754199999999997</v>
      </c>
      <c r="M601" s="552">
        <f t="shared" si="45"/>
        <v>236.70292397138149</v>
      </c>
      <c r="N601" s="562">
        <v>60</v>
      </c>
      <c r="O601" s="563">
        <f t="shared" si="46"/>
        <v>176.5575</v>
      </c>
      <c r="P601" s="564">
        <f t="shared" ca="1" si="47"/>
        <v>123</v>
      </c>
      <c r="Q601" s="552">
        <f t="shared" ca="1" si="48"/>
        <v>-11123.122500000001</v>
      </c>
      <c r="R601" s="563">
        <f t="shared" ca="1" si="49"/>
        <v>1</v>
      </c>
      <c r="S601" s="565" t="s">
        <v>1201</v>
      </c>
    </row>
    <row r="602" spans="2:19" ht="50.1" customHeight="1" x14ac:dyDescent="0.25">
      <c r="B602" s="859">
        <v>42144</v>
      </c>
      <c r="C602" s="558" t="s">
        <v>2349</v>
      </c>
      <c r="D602" s="558"/>
      <c r="E602" s="565" t="s">
        <v>1198</v>
      </c>
      <c r="F602" s="548" t="s">
        <v>1225</v>
      </c>
      <c r="G602" s="559" t="s">
        <v>1205</v>
      </c>
      <c r="H602" s="548" t="s">
        <v>28</v>
      </c>
      <c r="I602" s="548" t="s">
        <v>23</v>
      </c>
      <c r="J602" s="548" t="s">
        <v>1193</v>
      </c>
      <c r="K602" s="570">
        <v>10593.45</v>
      </c>
      <c r="L602" s="570">
        <v>44.748199999999997</v>
      </c>
      <c r="M602" s="552">
        <f t="shared" si="45"/>
        <v>236.73466195288304</v>
      </c>
      <c r="N602" s="562">
        <v>60</v>
      </c>
      <c r="O602" s="563">
        <f t="shared" si="46"/>
        <v>176.5575</v>
      </c>
      <c r="P602" s="564">
        <f t="shared" ca="1" si="47"/>
        <v>123</v>
      </c>
      <c r="Q602" s="552">
        <f t="shared" ca="1" si="48"/>
        <v>-11123.122500000001</v>
      </c>
      <c r="R602" s="563">
        <f t="shared" ca="1" si="49"/>
        <v>1</v>
      </c>
      <c r="S602" s="565" t="s">
        <v>1201</v>
      </c>
    </row>
    <row r="603" spans="2:19" ht="50.1" customHeight="1" x14ac:dyDescent="0.25">
      <c r="B603" s="859">
        <v>42144</v>
      </c>
      <c r="C603" s="558" t="s">
        <v>2349</v>
      </c>
      <c r="D603" s="558"/>
      <c r="E603" s="565" t="s">
        <v>1198</v>
      </c>
      <c r="F603" s="548" t="s">
        <v>1239</v>
      </c>
      <c r="G603" s="559" t="s">
        <v>1205</v>
      </c>
      <c r="H603" s="548" t="s">
        <v>28</v>
      </c>
      <c r="I603" s="548" t="s">
        <v>4385</v>
      </c>
      <c r="J603" s="548" t="s">
        <v>4386</v>
      </c>
      <c r="K603" s="570">
        <v>10593.45</v>
      </c>
      <c r="L603" s="570">
        <v>44.748199999999997</v>
      </c>
      <c r="M603" s="552">
        <f t="shared" si="45"/>
        <v>236.73466195288304</v>
      </c>
      <c r="N603" s="562">
        <v>60</v>
      </c>
      <c r="O603" s="563">
        <f t="shared" si="46"/>
        <v>176.5575</v>
      </c>
      <c r="P603" s="564">
        <f t="shared" ca="1" si="47"/>
        <v>123</v>
      </c>
      <c r="Q603" s="552">
        <f t="shared" ca="1" si="48"/>
        <v>-11123.122500000001</v>
      </c>
      <c r="R603" s="563">
        <f t="shared" ca="1" si="49"/>
        <v>1</v>
      </c>
      <c r="S603" s="565" t="s">
        <v>1201</v>
      </c>
    </row>
    <row r="604" spans="2:19" ht="50.1" customHeight="1" x14ac:dyDescent="0.25">
      <c r="B604" s="859">
        <v>42144</v>
      </c>
      <c r="C604" s="558" t="s">
        <v>2349</v>
      </c>
      <c r="D604" s="558"/>
      <c r="E604" s="565" t="s">
        <v>1198</v>
      </c>
      <c r="F604" s="548" t="s">
        <v>1223</v>
      </c>
      <c r="G604" s="559" t="s">
        <v>1224</v>
      </c>
      <c r="H604" s="548" t="s">
        <v>28</v>
      </c>
      <c r="I604" s="548" t="s">
        <v>23</v>
      </c>
      <c r="J604" s="548" t="s">
        <v>1193</v>
      </c>
      <c r="K604" s="570">
        <v>10204.52</v>
      </c>
      <c r="L604" s="570">
        <v>44.748199999999997</v>
      </c>
      <c r="M604" s="552">
        <f t="shared" si="45"/>
        <v>228.04313916537427</v>
      </c>
      <c r="N604" s="562">
        <v>60</v>
      </c>
      <c r="O604" s="563">
        <f t="shared" si="46"/>
        <v>170.07533333333333</v>
      </c>
      <c r="P604" s="564">
        <f t="shared" ca="1" si="47"/>
        <v>123</v>
      </c>
      <c r="Q604" s="552">
        <f t="shared" ca="1" si="48"/>
        <v>-10714.745999999999</v>
      </c>
      <c r="R604" s="563">
        <f t="shared" ca="1" si="49"/>
        <v>1</v>
      </c>
      <c r="S604" s="565" t="s">
        <v>1201</v>
      </c>
    </row>
    <row r="605" spans="2:19" ht="50.1" customHeight="1" x14ac:dyDescent="0.25">
      <c r="B605" s="859">
        <v>42144</v>
      </c>
      <c r="C605" s="558" t="s">
        <v>2349</v>
      </c>
      <c r="D605" s="558"/>
      <c r="E605" s="565" t="s">
        <v>1198</v>
      </c>
      <c r="F605" s="548" t="s">
        <v>1238</v>
      </c>
      <c r="G605" s="559" t="s">
        <v>1224</v>
      </c>
      <c r="H605" s="548" t="s">
        <v>28</v>
      </c>
      <c r="I605" s="548" t="s">
        <v>4385</v>
      </c>
      <c r="J605" s="548" t="s">
        <v>4386</v>
      </c>
      <c r="K605" s="570">
        <v>10204.52</v>
      </c>
      <c r="L605" s="570">
        <v>44.748199999999997</v>
      </c>
      <c r="M605" s="552">
        <f t="shared" si="45"/>
        <v>228.04313916537427</v>
      </c>
      <c r="N605" s="562">
        <v>60</v>
      </c>
      <c r="O605" s="563">
        <f t="shared" si="46"/>
        <v>170.07533333333333</v>
      </c>
      <c r="P605" s="564">
        <f t="shared" ca="1" si="47"/>
        <v>123</v>
      </c>
      <c r="Q605" s="552">
        <f t="shared" ca="1" si="48"/>
        <v>-10714.745999999999</v>
      </c>
      <c r="R605" s="563">
        <f t="shared" ca="1" si="49"/>
        <v>1</v>
      </c>
      <c r="S605" s="565" t="s">
        <v>1201</v>
      </c>
    </row>
    <row r="606" spans="2:19" ht="50.1" customHeight="1" x14ac:dyDescent="0.25">
      <c r="B606" s="859">
        <v>42144</v>
      </c>
      <c r="C606" s="558" t="s">
        <v>2349</v>
      </c>
      <c r="D606" s="558"/>
      <c r="E606" s="565" t="s">
        <v>1198</v>
      </c>
      <c r="F606" s="548" t="s">
        <v>1202</v>
      </c>
      <c r="G606" s="559" t="s">
        <v>1203</v>
      </c>
      <c r="H606" s="548" t="s">
        <v>28</v>
      </c>
      <c r="I606" s="548" t="s">
        <v>45</v>
      </c>
      <c r="J606" s="548" t="s">
        <v>46</v>
      </c>
      <c r="K606" s="570">
        <v>5946.79</v>
      </c>
      <c r="L606" s="570">
        <v>44.754199999999997</v>
      </c>
      <c r="M606" s="552">
        <f t="shared" si="45"/>
        <v>132.87669090275327</v>
      </c>
      <c r="N606" s="562">
        <v>60</v>
      </c>
      <c r="O606" s="563">
        <f t="shared" si="46"/>
        <v>99.113166666666672</v>
      </c>
      <c r="P606" s="564">
        <f t="shared" ca="1" si="47"/>
        <v>123</v>
      </c>
      <c r="Q606" s="552">
        <f t="shared" ca="1" si="48"/>
        <v>-6244.1295</v>
      </c>
      <c r="R606" s="563">
        <f t="shared" ca="1" si="49"/>
        <v>1</v>
      </c>
      <c r="S606" s="565" t="s">
        <v>1201</v>
      </c>
    </row>
    <row r="607" spans="2:19" ht="50.1" customHeight="1" x14ac:dyDescent="0.25">
      <c r="B607" s="859">
        <v>42144</v>
      </c>
      <c r="C607" s="558" t="s">
        <v>2349</v>
      </c>
      <c r="D607" s="558"/>
      <c r="E607" s="565" t="s">
        <v>1198</v>
      </c>
      <c r="F607" s="548" t="s">
        <v>1237</v>
      </c>
      <c r="G607" s="559" t="s">
        <v>1203</v>
      </c>
      <c r="H607" s="548" t="s">
        <v>28</v>
      </c>
      <c r="I607" s="548" t="s">
        <v>4385</v>
      </c>
      <c r="J607" s="548" t="s">
        <v>4386</v>
      </c>
      <c r="K607" s="570">
        <v>5946.79</v>
      </c>
      <c r="L607" s="570">
        <v>44.748199999999997</v>
      </c>
      <c r="M607" s="552">
        <f t="shared" si="45"/>
        <v>132.89450748856939</v>
      </c>
      <c r="N607" s="562">
        <v>60</v>
      </c>
      <c r="O607" s="563">
        <f t="shared" si="46"/>
        <v>99.113166666666672</v>
      </c>
      <c r="P607" s="564">
        <f t="shared" ca="1" si="47"/>
        <v>123</v>
      </c>
      <c r="Q607" s="552">
        <f t="shared" ca="1" si="48"/>
        <v>-6244.1295</v>
      </c>
      <c r="R607" s="563">
        <f t="shared" ca="1" si="49"/>
        <v>1</v>
      </c>
      <c r="S607" s="565" t="s">
        <v>1201</v>
      </c>
    </row>
    <row r="608" spans="2:19" ht="50.1" customHeight="1" x14ac:dyDescent="0.25">
      <c r="B608" s="859">
        <v>42144</v>
      </c>
      <c r="C608" s="558" t="s">
        <v>2349</v>
      </c>
      <c r="D608" s="558"/>
      <c r="E608" s="565" t="s">
        <v>1215</v>
      </c>
      <c r="F608" s="548" t="s">
        <v>1216</v>
      </c>
      <c r="G608" s="559" t="s">
        <v>1164</v>
      </c>
      <c r="H608" s="548" t="s">
        <v>1217</v>
      </c>
      <c r="I608" s="548" t="s">
        <v>23</v>
      </c>
      <c r="J608" s="548" t="s">
        <v>1193</v>
      </c>
      <c r="K608" s="570">
        <v>10330</v>
      </c>
      <c r="L608" s="570">
        <v>44.748199999999997</v>
      </c>
      <c r="M608" s="552">
        <f t="shared" si="45"/>
        <v>230.84727430377089</v>
      </c>
      <c r="N608" s="562">
        <v>60</v>
      </c>
      <c r="O608" s="563">
        <f t="shared" si="46"/>
        <v>172.16666666666666</v>
      </c>
      <c r="P608" s="564">
        <f t="shared" ca="1" si="47"/>
        <v>123</v>
      </c>
      <c r="Q608" s="552">
        <f t="shared" ca="1" si="48"/>
        <v>-10846.5</v>
      </c>
      <c r="R608" s="563">
        <f t="shared" ca="1" si="49"/>
        <v>1</v>
      </c>
      <c r="S608" s="565" t="s">
        <v>1218</v>
      </c>
    </row>
    <row r="609" spans="2:19" ht="50.1" customHeight="1" x14ac:dyDescent="0.25">
      <c r="B609" s="859">
        <v>42144</v>
      </c>
      <c r="C609" s="558" t="s">
        <v>2349</v>
      </c>
      <c r="D609" s="558"/>
      <c r="E609" s="565" t="s">
        <v>1198</v>
      </c>
      <c r="F609" s="548" t="s">
        <v>1235</v>
      </c>
      <c r="G609" s="559" t="s">
        <v>1236</v>
      </c>
      <c r="H609" s="548" t="s">
        <v>28</v>
      </c>
      <c r="I609" s="548" t="s">
        <v>4385</v>
      </c>
      <c r="J609" s="548" t="s">
        <v>4386</v>
      </c>
      <c r="K609" s="570">
        <v>5895.63</v>
      </c>
      <c r="L609" s="570">
        <v>44.748199999999997</v>
      </c>
      <c r="M609" s="552">
        <f t="shared" si="45"/>
        <v>131.75122127817434</v>
      </c>
      <c r="N609" s="562">
        <v>60</v>
      </c>
      <c r="O609" s="563">
        <f t="shared" si="46"/>
        <v>98.260500000000008</v>
      </c>
      <c r="P609" s="564">
        <f t="shared" ca="1" si="47"/>
        <v>123</v>
      </c>
      <c r="Q609" s="552">
        <f t="shared" ca="1" si="48"/>
        <v>-6190.4115000000011</v>
      </c>
      <c r="R609" s="563">
        <f t="shared" ca="1" si="49"/>
        <v>1</v>
      </c>
      <c r="S609" s="565" t="s">
        <v>1201</v>
      </c>
    </row>
    <row r="610" spans="2:19" ht="50.1" customHeight="1" x14ac:dyDescent="0.25">
      <c r="B610" s="859">
        <v>42144</v>
      </c>
      <c r="C610" s="558" t="s">
        <v>2349</v>
      </c>
      <c r="D610" s="558"/>
      <c r="E610" s="565" t="s">
        <v>1198</v>
      </c>
      <c r="F610" s="548" t="s">
        <v>1234</v>
      </c>
      <c r="G610" s="559" t="s">
        <v>1173</v>
      </c>
      <c r="H610" s="548" t="s">
        <v>28</v>
      </c>
      <c r="I610" s="548" t="s">
        <v>4385</v>
      </c>
      <c r="J610" s="548" t="s">
        <v>4386</v>
      </c>
      <c r="K610" s="570">
        <v>10499.99</v>
      </c>
      <c r="L610" s="570">
        <v>44.748199999999997</v>
      </c>
      <c r="M610" s="552">
        <f t="shared" si="45"/>
        <v>234.64608632302529</v>
      </c>
      <c r="N610" s="562">
        <v>60</v>
      </c>
      <c r="O610" s="563">
        <f t="shared" si="46"/>
        <v>174.99983333333333</v>
      </c>
      <c r="P610" s="564">
        <f t="shared" ca="1" si="47"/>
        <v>123</v>
      </c>
      <c r="Q610" s="552">
        <f t="shared" ca="1" si="48"/>
        <v>-11024.989499999998</v>
      </c>
      <c r="R610" s="563">
        <f t="shared" ca="1" si="49"/>
        <v>1</v>
      </c>
      <c r="S610" s="565" t="s">
        <v>1201</v>
      </c>
    </row>
    <row r="611" spans="2:19" ht="50.1" customHeight="1" x14ac:dyDescent="0.25">
      <c r="B611" s="859">
        <v>42144</v>
      </c>
      <c r="C611" s="558" t="s">
        <v>2349</v>
      </c>
      <c r="D611" s="558"/>
      <c r="E611" s="565" t="s">
        <v>1198</v>
      </c>
      <c r="F611" s="548" t="s">
        <v>1199</v>
      </c>
      <c r="G611" s="559" t="s">
        <v>1200</v>
      </c>
      <c r="H611" s="548" t="s">
        <v>28</v>
      </c>
      <c r="I611" s="548" t="s">
        <v>45</v>
      </c>
      <c r="J611" s="548" t="s">
        <v>46</v>
      </c>
      <c r="K611" s="570">
        <v>4860.5400000000009</v>
      </c>
      <c r="L611" s="570">
        <v>44.754199999999997</v>
      </c>
      <c r="M611" s="552">
        <f t="shared" si="45"/>
        <v>108.60522587824163</v>
      </c>
      <c r="N611" s="562">
        <v>60</v>
      </c>
      <c r="O611" s="563">
        <f t="shared" si="46"/>
        <v>81.009000000000015</v>
      </c>
      <c r="P611" s="564">
        <f t="shared" ca="1" si="47"/>
        <v>123</v>
      </c>
      <c r="Q611" s="552">
        <f t="shared" ca="1" si="48"/>
        <v>-5103.5670000000009</v>
      </c>
      <c r="R611" s="563">
        <f t="shared" ca="1" si="49"/>
        <v>1</v>
      </c>
      <c r="S611" s="565" t="s">
        <v>1201</v>
      </c>
    </row>
    <row r="612" spans="2:19" ht="50.1" customHeight="1" x14ac:dyDescent="0.25">
      <c r="B612" s="859">
        <v>42144</v>
      </c>
      <c r="C612" s="558" t="s">
        <v>2349</v>
      </c>
      <c r="D612" s="558"/>
      <c r="E612" s="565" t="s">
        <v>1198</v>
      </c>
      <c r="F612" s="548" t="s">
        <v>1219</v>
      </c>
      <c r="G612" s="559" t="s">
        <v>1200</v>
      </c>
      <c r="H612" s="548" t="s">
        <v>28</v>
      </c>
      <c r="I612" s="548" t="s">
        <v>23</v>
      </c>
      <c r="J612" s="548" t="s">
        <v>1193</v>
      </c>
      <c r="K612" s="570">
        <v>4860.5400000000009</v>
      </c>
      <c r="L612" s="570">
        <v>44.748199999999997</v>
      </c>
      <c r="M612" s="552">
        <f t="shared" si="45"/>
        <v>108.61978805851412</v>
      </c>
      <c r="N612" s="562">
        <v>60</v>
      </c>
      <c r="O612" s="563">
        <f t="shared" si="46"/>
        <v>81.009000000000015</v>
      </c>
      <c r="P612" s="564">
        <f t="shared" ca="1" si="47"/>
        <v>123</v>
      </c>
      <c r="Q612" s="552">
        <f t="shared" ca="1" si="48"/>
        <v>-5103.5670000000009</v>
      </c>
      <c r="R612" s="563">
        <f t="shared" ca="1" si="49"/>
        <v>1</v>
      </c>
      <c r="S612" s="565" t="s">
        <v>1201</v>
      </c>
    </row>
    <row r="613" spans="2:19" ht="50.1" customHeight="1" x14ac:dyDescent="0.25">
      <c r="B613" s="859">
        <v>42144</v>
      </c>
      <c r="C613" s="558" t="s">
        <v>2349</v>
      </c>
      <c r="D613" s="558"/>
      <c r="E613" s="565" t="s">
        <v>1198</v>
      </c>
      <c r="F613" s="548" t="s">
        <v>1220</v>
      </c>
      <c r="G613" s="559" t="s">
        <v>1200</v>
      </c>
      <c r="H613" s="548" t="s">
        <v>28</v>
      </c>
      <c r="I613" s="548" t="s">
        <v>23</v>
      </c>
      <c r="J613" s="548" t="s">
        <v>1193</v>
      </c>
      <c r="K613" s="570">
        <v>4860.5400000000009</v>
      </c>
      <c r="L613" s="570">
        <v>44.748199999999997</v>
      </c>
      <c r="M613" s="552">
        <f t="shared" si="45"/>
        <v>108.61978805851412</v>
      </c>
      <c r="N613" s="562">
        <v>60</v>
      </c>
      <c r="O613" s="563">
        <f t="shared" si="46"/>
        <v>81.009000000000015</v>
      </c>
      <c r="P613" s="564">
        <f t="shared" ca="1" si="47"/>
        <v>123</v>
      </c>
      <c r="Q613" s="552">
        <f t="shared" ca="1" si="48"/>
        <v>-5103.5670000000009</v>
      </c>
      <c r="R613" s="563">
        <f t="shared" ca="1" si="49"/>
        <v>1</v>
      </c>
      <c r="S613" s="565" t="s">
        <v>1201</v>
      </c>
    </row>
    <row r="614" spans="2:19" ht="50.1" customHeight="1" x14ac:dyDescent="0.25">
      <c r="B614" s="859">
        <v>42144</v>
      </c>
      <c r="C614" s="558" t="s">
        <v>2349</v>
      </c>
      <c r="D614" s="558"/>
      <c r="E614" s="565" t="s">
        <v>1198</v>
      </c>
      <c r="F614" s="548" t="s">
        <v>1221</v>
      </c>
      <c r="G614" s="559" t="s">
        <v>1200</v>
      </c>
      <c r="H614" s="548" t="s">
        <v>28</v>
      </c>
      <c r="I614" s="548" t="s">
        <v>23</v>
      </c>
      <c r="J614" s="548" t="s">
        <v>1193</v>
      </c>
      <c r="K614" s="570">
        <v>4860.5400000000009</v>
      </c>
      <c r="L614" s="570">
        <v>44.748199999999997</v>
      </c>
      <c r="M614" s="552">
        <f t="shared" si="45"/>
        <v>108.61978805851412</v>
      </c>
      <c r="N614" s="562">
        <v>60</v>
      </c>
      <c r="O614" s="563">
        <f t="shared" si="46"/>
        <v>81.009000000000015</v>
      </c>
      <c r="P614" s="564">
        <f t="shared" ca="1" si="47"/>
        <v>123</v>
      </c>
      <c r="Q614" s="552">
        <f t="shared" ca="1" si="48"/>
        <v>-5103.5670000000009</v>
      </c>
      <c r="R614" s="563">
        <f t="shared" ca="1" si="49"/>
        <v>1</v>
      </c>
      <c r="S614" s="565" t="s">
        <v>1201</v>
      </c>
    </row>
    <row r="615" spans="2:19" ht="50.1" customHeight="1" x14ac:dyDescent="0.25">
      <c r="B615" s="859">
        <v>42144</v>
      </c>
      <c r="C615" s="558" t="s">
        <v>2349</v>
      </c>
      <c r="D615" s="558"/>
      <c r="E615" s="565" t="s">
        <v>1198</v>
      </c>
      <c r="F615" s="548" t="s">
        <v>1222</v>
      </c>
      <c r="G615" s="559" t="s">
        <v>1200</v>
      </c>
      <c r="H615" s="548" t="s">
        <v>28</v>
      </c>
      <c r="I615" s="548" t="s">
        <v>23</v>
      </c>
      <c r="J615" s="548" t="s">
        <v>1193</v>
      </c>
      <c r="K615" s="570">
        <v>4860.5400000000009</v>
      </c>
      <c r="L615" s="570">
        <v>44.748199999999997</v>
      </c>
      <c r="M615" s="552">
        <f t="shared" si="45"/>
        <v>108.61978805851412</v>
      </c>
      <c r="N615" s="562">
        <v>60</v>
      </c>
      <c r="O615" s="563">
        <f t="shared" si="46"/>
        <v>81.009000000000015</v>
      </c>
      <c r="P615" s="564">
        <f t="shared" ca="1" si="47"/>
        <v>123</v>
      </c>
      <c r="Q615" s="552">
        <f t="shared" ca="1" si="48"/>
        <v>-5103.5670000000009</v>
      </c>
      <c r="R615" s="563">
        <f t="shared" ca="1" si="49"/>
        <v>1</v>
      </c>
      <c r="S615" s="565" t="s">
        <v>1201</v>
      </c>
    </row>
    <row r="616" spans="2:19" ht="50.1" customHeight="1" x14ac:dyDescent="0.25">
      <c r="B616" s="859">
        <v>42144</v>
      </c>
      <c r="C616" s="558" t="s">
        <v>2349</v>
      </c>
      <c r="D616" s="558"/>
      <c r="E616" s="565" t="s">
        <v>1198</v>
      </c>
      <c r="F616" s="548" t="s">
        <v>1230</v>
      </c>
      <c r="G616" s="559" t="s">
        <v>1200</v>
      </c>
      <c r="H616" s="548" t="s">
        <v>28</v>
      </c>
      <c r="I616" s="548" t="s">
        <v>4385</v>
      </c>
      <c r="J616" s="548" t="s">
        <v>4386</v>
      </c>
      <c r="K616" s="570">
        <v>4860.5400000000009</v>
      </c>
      <c r="L616" s="570">
        <v>44.748199999999997</v>
      </c>
      <c r="M616" s="552">
        <f t="shared" si="45"/>
        <v>108.61978805851412</v>
      </c>
      <c r="N616" s="562">
        <v>60</v>
      </c>
      <c r="O616" s="563">
        <f t="shared" si="46"/>
        <v>81.009000000000015</v>
      </c>
      <c r="P616" s="564">
        <f t="shared" ca="1" si="47"/>
        <v>123</v>
      </c>
      <c r="Q616" s="552">
        <f t="shared" ca="1" si="48"/>
        <v>-5103.5670000000009</v>
      </c>
      <c r="R616" s="563">
        <f t="shared" ca="1" si="49"/>
        <v>1</v>
      </c>
      <c r="S616" s="565" t="s">
        <v>1201</v>
      </c>
    </row>
    <row r="617" spans="2:19" ht="50.1" customHeight="1" x14ac:dyDescent="0.25">
      <c r="B617" s="859">
        <v>42144</v>
      </c>
      <c r="C617" s="558" t="s">
        <v>2349</v>
      </c>
      <c r="D617" s="558"/>
      <c r="E617" s="565" t="s">
        <v>1198</v>
      </c>
      <c r="F617" s="548" t="s">
        <v>1231</v>
      </c>
      <c r="G617" s="559" t="s">
        <v>1200</v>
      </c>
      <c r="H617" s="548" t="s">
        <v>28</v>
      </c>
      <c r="I617" s="548" t="s">
        <v>4385</v>
      </c>
      <c r="J617" s="548" t="s">
        <v>4386</v>
      </c>
      <c r="K617" s="570">
        <v>4860.5400000000009</v>
      </c>
      <c r="L617" s="570">
        <v>44.748199999999997</v>
      </c>
      <c r="M617" s="552">
        <f t="shared" si="45"/>
        <v>108.61978805851412</v>
      </c>
      <c r="N617" s="562">
        <v>60</v>
      </c>
      <c r="O617" s="563">
        <f t="shared" si="46"/>
        <v>81.009000000000015</v>
      </c>
      <c r="P617" s="564">
        <f t="shared" ca="1" si="47"/>
        <v>123</v>
      </c>
      <c r="Q617" s="552">
        <f t="shared" ca="1" si="48"/>
        <v>-5103.5670000000009</v>
      </c>
      <c r="R617" s="563">
        <f t="shared" ca="1" si="49"/>
        <v>1</v>
      </c>
      <c r="S617" s="565" t="s">
        <v>1201</v>
      </c>
    </row>
    <row r="618" spans="2:19" ht="50.1" customHeight="1" x14ac:dyDescent="0.25">
      <c r="B618" s="859">
        <v>42144</v>
      </c>
      <c r="C618" s="558" t="s">
        <v>2349</v>
      </c>
      <c r="D618" s="558"/>
      <c r="E618" s="565" t="s">
        <v>1198</v>
      </c>
      <c r="F618" s="548" t="s">
        <v>1232</v>
      </c>
      <c r="G618" s="559" t="s">
        <v>1200</v>
      </c>
      <c r="H618" s="548" t="s">
        <v>28</v>
      </c>
      <c r="I618" s="548" t="s">
        <v>4385</v>
      </c>
      <c r="J618" s="548" t="s">
        <v>4386</v>
      </c>
      <c r="K618" s="570">
        <v>4860.5400000000009</v>
      </c>
      <c r="L618" s="570">
        <v>44.748199999999997</v>
      </c>
      <c r="M618" s="552">
        <f t="shared" si="45"/>
        <v>108.61978805851412</v>
      </c>
      <c r="N618" s="562">
        <v>60</v>
      </c>
      <c r="O618" s="563">
        <f t="shared" si="46"/>
        <v>81.009000000000015</v>
      </c>
      <c r="P618" s="564">
        <f t="shared" ca="1" si="47"/>
        <v>123</v>
      </c>
      <c r="Q618" s="552">
        <f t="shared" ca="1" si="48"/>
        <v>-5103.5670000000009</v>
      </c>
      <c r="R618" s="563">
        <f t="shared" ca="1" si="49"/>
        <v>1</v>
      </c>
      <c r="S618" s="565" t="s">
        <v>1201</v>
      </c>
    </row>
    <row r="619" spans="2:19" ht="50.1" customHeight="1" x14ac:dyDescent="0.25">
      <c r="B619" s="859">
        <v>42144</v>
      </c>
      <c r="C619" s="558" t="s">
        <v>2349</v>
      </c>
      <c r="D619" s="558"/>
      <c r="E619" s="565" t="s">
        <v>1198</v>
      </c>
      <c r="F619" s="548" t="s">
        <v>1233</v>
      </c>
      <c r="G619" s="559" t="s">
        <v>1200</v>
      </c>
      <c r="H619" s="548" t="s">
        <v>28</v>
      </c>
      <c r="I619" s="548" t="s">
        <v>4385</v>
      </c>
      <c r="J619" s="548" t="s">
        <v>4386</v>
      </c>
      <c r="K619" s="570">
        <v>4860.5400000000009</v>
      </c>
      <c r="L619" s="570">
        <v>44.748199999999997</v>
      </c>
      <c r="M619" s="552">
        <f t="shared" si="45"/>
        <v>108.61978805851412</v>
      </c>
      <c r="N619" s="562">
        <v>60</v>
      </c>
      <c r="O619" s="563">
        <f t="shared" si="46"/>
        <v>81.009000000000015</v>
      </c>
      <c r="P619" s="564">
        <f t="shared" ca="1" si="47"/>
        <v>123</v>
      </c>
      <c r="Q619" s="552">
        <f t="shared" ca="1" si="48"/>
        <v>-5103.5670000000009</v>
      </c>
      <c r="R619" s="563">
        <f t="shared" ca="1" si="49"/>
        <v>1</v>
      </c>
      <c r="S619" s="565" t="s">
        <v>1201</v>
      </c>
    </row>
    <row r="620" spans="2:19" ht="50.1" customHeight="1" x14ac:dyDescent="0.25">
      <c r="B620" s="859">
        <v>42144</v>
      </c>
      <c r="C620" s="558" t="s">
        <v>2349</v>
      </c>
      <c r="D620" s="558"/>
      <c r="E620" s="565" t="s">
        <v>1215</v>
      </c>
      <c r="F620" s="548" t="s">
        <v>1226</v>
      </c>
      <c r="G620" s="559" t="s">
        <v>1227</v>
      </c>
      <c r="H620" s="548" t="s">
        <v>1228</v>
      </c>
      <c r="I620" s="548" t="s">
        <v>4385</v>
      </c>
      <c r="J620" s="548" t="s">
        <v>4386</v>
      </c>
      <c r="K620" s="570">
        <v>2375</v>
      </c>
      <c r="L620" s="570">
        <v>44.748199999999997</v>
      </c>
      <c r="M620" s="552">
        <f t="shared" si="45"/>
        <v>53.074760549027673</v>
      </c>
      <c r="N620" s="562">
        <v>60</v>
      </c>
      <c r="O620" s="563">
        <f t="shared" si="46"/>
        <v>39.583333333333336</v>
      </c>
      <c r="P620" s="564">
        <f t="shared" ca="1" si="47"/>
        <v>123</v>
      </c>
      <c r="Q620" s="552">
        <f t="shared" ca="1" si="48"/>
        <v>-2493.75</v>
      </c>
      <c r="R620" s="563">
        <f t="shared" ca="1" si="49"/>
        <v>1</v>
      </c>
      <c r="S620" s="565" t="s">
        <v>1218</v>
      </c>
    </row>
    <row r="621" spans="2:19" ht="50.1" customHeight="1" x14ac:dyDescent="0.25">
      <c r="B621" s="859">
        <v>42150</v>
      </c>
      <c r="C621" s="558" t="s">
        <v>2349</v>
      </c>
      <c r="D621" s="558"/>
      <c r="E621" s="565" t="s">
        <v>1252</v>
      </c>
      <c r="F621" s="548" t="s">
        <v>1253</v>
      </c>
      <c r="G621" s="559" t="s">
        <v>1254</v>
      </c>
      <c r="H621" s="571" t="s">
        <v>1255</v>
      </c>
      <c r="I621" s="548" t="s">
        <v>4385</v>
      </c>
      <c r="J621" s="548" t="s">
        <v>4386</v>
      </c>
      <c r="K621" s="570">
        <v>1648.46</v>
      </c>
      <c r="L621" s="570">
        <v>44.755400000000002</v>
      </c>
      <c r="M621" s="552">
        <f t="shared" si="45"/>
        <v>36.832650361744058</v>
      </c>
      <c r="N621" s="562">
        <v>60</v>
      </c>
      <c r="O621" s="563">
        <f t="shared" si="46"/>
        <v>27.474333333333334</v>
      </c>
      <c r="P621" s="564">
        <f t="shared" ca="1" si="47"/>
        <v>123</v>
      </c>
      <c r="Q621" s="552">
        <f t="shared" ca="1" si="48"/>
        <v>-1730.8829999999998</v>
      </c>
      <c r="R621" s="563">
        <f t="shared" ca="1" si="49"/>
        <v>1</v>
      </c>
      <c r="S621" s="565" t="s">
        <v>1256</v>
      </c>
    </row>
    <row r="622" spans="2:19" ht="50.1" customHeight="1" x14ac:dyDescent="0.25">
      <c r="B622" s="859">
        <v>42150</v>
      </c>
      <c r="C622" s="558" t="s">
        <v>2349</v>
      </c>
      <c r="D622" s="558"/>
      <c r="E622" s="565" t="s">
        <v>1252</v>
      </c>
      <c r="F622" s="548" t="s">
        <v>1257</v>
      </c>
      <c r="G622" s="559" t="s">
        <v>1254</v>
      </c>
      <c r="H622" s="571" t="s">
        <v>1258</v>
      </c>
      <c r="I622" s="548" t="s">
        <v>4385</v>
      </c>
      <c r="J622" s="548" t="s">
        <v>4386</v>
      </c>
      <c r="K622" s="570">
        <v>1648.46</v>
      </c>
      <c r="L622" s="570">
        <v>44.755400000000002</v>
      </c>
      <c r="M622" s="552">
        <f t="shared" si="45"/>
        <v>36.832650361744058</v>
      </c>
      <c r="N622" s="562">
        <v>60</v>
      </c>
      <c r="O622" s="563">
        <f t="shared" si="46"/>
        <v>27.474333333333334</v>
      </c>
      <c r="P622" s="564">
        <f t="shared" ca="1" si="47"/>
        <v>123</v>
      </c>
      <c r="Q622" s="552">
        <f t="shared" ca="1" si="48"/>
        <v>-1730.8829999999998</v>
      </c>
      <c r="R622" s="563">
        <f t="shared" ca="1" si="49"/>
        <v>1</v>
      </c>
      <c r="S622" s="565" t="s">
        <v>1256</v>
      </c>
    </row>
    <row r="623" spans="2:19" ht="50.1" customHeight="1" x14ac:dyDescent="0.25">
      <c r="B623" s="859">
        <v>42150</v>
      </c>
      <c r="C623" s="558" t="s">
        <v>2349</v>
      </c>
      <c r="D623" s="558"/>
      <c r="E623" s="565" t="s">
        <v>1259</v>
      </c>
      <c r="F623" s="548" t="s">
        <v>1260</v>
      </c>
      <c r="G623" s="559" t="s">
        <v>1261</v>
      </c>
      <c r="H623" s="548" t="s">
        <v>1262</v>
      </c>
      <c r="I623" s="548" t="s">
        <v>950</v>
      </c>
      <c r="J623" s="548" t="s">
        <v>19</v>
      </c>
      <c r="K623" s="570">
        <v>3858</v>
      </c>
      <c r="L623" s="570">
        <v>44.755400000000002</v>
      </c>
      <c r="M623" s="552">
        <f t="shared" si="45"/>
        <v>86.201888487199312</v>
      </c>
      <c r="N623" s="562">
        <v>60</v>
      </c>
      <c r="O623" s="563">
        <f t="shared" si="46"/>
        <v>64.3</v>
      </c>
      <c r="P623" s="564">
        <f t="shared" ca="1" si="47"/>
        <v>123</v>
      </c>
      <c r="Q623" s="552">
        <f t="shared" ca="1" si="48"/>
        <v>-4050.8999999999996</v>
      </c>
      <c r="R623" s="563">
        <f t="shared" ca="1" si="49"/>
        <v>1</v>
      </c>
      <c r="S623" s="565" t="s">
        <v>1182</v>
      </c>
    </row>
    <row r="624" spans="2:19" ht="39.950000000000003" customHeight="1" x14ac:dyDescent="0.25">
      <c r="B624" s="859">
        <v>42151</v>
      </c>
      <c r="C624" s="558" t="s">
        <v>2349</v>
      </c>
      <c r="D624" s="558"/>
      <c r="E624" s="565" t="s">
        <v>1198</v>
      </c>
      <c r="F624" s="548" t="s">
        <v>1263</v>
      </c>
      <c r="G624" s="559" t="s">
        <v>1264</v>
      </c>
      <c r="H624" s="841" t="s">
        <v>1265</v>
      </c>
      <c r="I624" s="548" t="s">
        <v>1266</v>
      </c>
      <c r="J624" s="548" t="s">
        <v>19</v>
      </c>
      <c r="K624" s="570">
        <v>1168700</v>
      </c>
      <c r="L624" s="570">
        <v>44.748199999999997</v>
      </c>
      <c r="M624" s="552">
        <f t="shared" si="45"/>
        <v>26117.251643641535</v>
      </c>
      <c r="N624" s="562">
        <v>120</v>
      </c>
      <c r="O624" s="563">
        <f t="shared" si="46"/>
        <v>9739.1666666666661</v>
      </c>
      <c r="P624" s="564">
        <f t="shared" ca="1" si="47"/>
        <v>123</v>
      </c>
      <c r="Q624" s="552">
        <f t="shared" ca="1" si="48"/>
        <v>-29217.5</v>
      </c>
      <c r="R624" s="563">
        <f t="shared" ca="1" si="49"/>
        <v>1</v>
      </c>
      <c r="S624" s="565" t="s">
        <v>1201</v>
      </c>
    </row>
    <row r="625" spans="1:19" ht="60" customHeight="1" x14ac:dyDescent="0.25">
      <c r="A625" s="323"/>
      <c r="B625" s="859">
        <v>42151</v>
      </c>
      <c r="C625" s="558" t="s">
        <v>2349</v>
      </c>
      <c r="D625" s="558"/>
      <c r="E625" s="565" t="s">
        <v>1198</v>
      </c>
      <c r="F625" s="548" t="s">
        <v>1271</v>
      </c>
      <c r="G625" s="559" t="s">
        <v>1272</v>
      </c>
      <c r="H625" s="841" t="s">
        <v>1273</v>
      </c>
      <c r="I625" s="548" t="s">
        <v>742</v>
      </c>
      <c r="J625" s="548" t="s">
        <v>19</v>
      </c>
      <c r="K625" s="570">
        <v>1170680</v>
      </c>
      <c r="L625" s="570">
        <v>44.748199999999997</v>
      </c>
      <c r="M625" s="552">
        <f t="shared" si="45"/>
        <v>26161.499233488725</v>
      </c>
      <c r="N625" s="562">
        <v>120</v>
      </c>
      <c r="O625" s="563">
        <f t="shared" si="46"/>
        <v>9755.6666666666661</v>
      </c>
      <c r="P625" s="564">
        <f t="shared" ca="1" si="47"/>
        <v>123</v>
      </c>
      <c r="Q625" s="552">
        <f t="shared" ca="1" si="48"/>
        <v>-29267</v>
      </c>
      <c r="R625" s="563">
        <f t="shared" ca="1" si="49"/>
        <v>1</v>
      </c>
      <c r="S625" s="565" t="s">
        <v>1201</v>
      </c>
    </row>
    <row r="626" spans="1:19" ht="60" customHeight="1" x14ac:dyDescent="0.25">
      <c r="B626" s="859">
        <v>42151</v>
      </c>
      <c r="C626" s="558" t="s">
        <v>2349</v>
      </c>
      <c r="D626" s="558"/>
      <c r="E626" s="565" t="s">
        <v>1283</v>
      </c>
      <c r="F626" s="548" t="s">
        <v>1284</v>
      </c>
      <c r="G626" s="559" t="s">
        <v>1285</v>
      </c>
      <c r="H626" s="548" t="s">
        <v>1286</v>
      </c>
      <c r="I626" s="548" t="s">
        <v>23</v>
      </c>
      <c r="J626" s="548" t="s">
        <v>1193</v>
      </c>
      <c r="K626" s="570">
        <v>12749.99</v>
      </c>
      <c r="L626" s="570">
        <v>44.778500000000001</v>
      </c>
      <c r="M626" s="552">
        <f t="shared" si="45"/>
        <v>284.73463827506504</v>
      </c>
      <c r="N626" s="562">
        <v>60</v>
      </c>
      <c r="O626" s="563">
        <f t="shared" si="46"/>
        <v>212.49983333333333</v>
      </c>
      <c r="P626" s="564">
        <f t="shared" ca="1" si="47"/>
        <v>123</v>
      </c>
      <c r="Q626" s="552">
        <f t="shared" ca="1" si="48"/>
        <v>-13387.489499999998</v>
      </c>
      <c r="R626" s="563">
        <f t="shared" ca="1" si="49"/>
        <v>1</v>
      </c>
      <c r="S626" s="565" t="s">
        <v>1287</v>
      </c>
    </row>
    <row r="627" spans="1:19" ht="60" customHeight="1" x14ac:dyDescent="0.25">
      <c r="B627" s="859">
        <v>42151</v>
      </c>
      <c r="C627" s="558" t="s">
        <v>2349</v>
      </c>
      <c r="D627" s="558"/>
      <c r="E627" s="565" t="s">
        <v>1283</v>
      </c>
      <c r="F627" s="548" t="s">
        <v>1288</v>
      </c>
      <c r="G627" s="559" t="s">
        <v>1285</v>
      </c>
      <c r="H627" s="548" t="s">
        <v>1289</v>
      </c>
      <c r="I627" s="548" t="s">
        <v>4384</v>
      </c>
      <c r="J627" s="548" t="s">
        <v>1290</v>
      </c>
      <c r="K627" s="570">
        <v>12749.99</v>
      </c>
      <c r="L627" s="570">
        <v>44.778500000000001</v>
      </c>
      <c r="M627" s="552">
        <f t="shared" si="45"/>
        <v>284.73463827506504</v>
      </c>
      <c r="N627" s="562">
        <v>60</v>
      </c>
      <c r="O627" s="563">
        <f t="shared" si="46"/>
        <v>212.49983333333333</v>
      </c>
      <c r="P627" s="564">
        <f t="shared" ca="1" si="47"/>
        <v>123</v>
      </c>
      <c r="Q627" s="552">
        <f t="shared" ca="1" si="48"/>
        <v>-13387.489499999998</v>
      </c>
      <c r="R627" s="563">
        <f t="shared" ca="1" si="49"/>
        <v>1</v>
      </c>
      <c r="S627" s="565" t="s">
        <v>1287</v>
      </c>
    </row>
    <row r="628" spans="1:19" ht="39.950000000000003" customHeight="1" x14ac:dyDescent="0.25">
      <c r="B628" s="859">
        <v>42151</v>
      </c>
      <c r="C628" s="558" t="s">
        <v>2349</v>
      </c>
      <c r="D628" s="558"/>
      <c r="E628" s="565" t="s">
        <v>1283</v>
      </c>
      <c r="F628" s="548" t="s">
        <v>1291</v>
      </c>
      <c r="G628" s="559" t="s">
        <v>1285</v>
      </c>
      <c r="H628" s="548" t="s">
        <v>1292</v>
      </c>
      <c r="I628" s="548" t="s">
        <v>4384</v>
      </c>
      <c r="J628" s="548" t="s">
        <v>1293</v>
      </c>
      <c r="K628" s="570">
        <v>12749.99</v>
      </c>
      <c r="L628" s="570">
        <v>44.778500000000001</v>
      </c>
      <c r="M628" s="552">
        <f t="shared" si="45"/>
        <v>284.73463827506504</v>
      </c>
      <c r="N628" s="562">
        <v>60</v>
      </c>
      <c r="O628" s="563">
        <f t="shared" si="46"/>
        <v>212.49983333333333</v>
      </c>
      <c r="P628" s="564">
        <f t="shared" ca="1" si="47"/>
        <v>123</v>
      </c>
      <c r="Q628" s="552">
        <f t="shared" ca="1" si="48"/>
        <v>-13387.489499999998</v>
      </c>
      <c r="R628" s="563">
        <f t="shared" ca="1" si="49"/>
        <v>1</v>
      </c>
      <c r="S628" s="565" t="s">
        <v>1287</v>
      </c>
    </row>
    <row r="629" spans="1:19" ht="39.950000000000003" customHeight="1" x14ac:dyDescent="0.25">
      <c r="B629" s="859">
        <v>42151</v>
      </c>
      <c r="C629" s="558" t="s">
        <v>2349</v>
      </c>
      <c r="D629" s="558"/>
      <c r="E629" s="565" t="s">
        <v>1283</v>
      </c>
      <c r="F629" s="548" t="s">
        <v>1300</v>
      </c>
      <c r="G629" s="559" t="s">
        <v>1285</v>
      </c>
      <c r="H629" s="548" t="s">
        <v>1301</v>
      </c>
      <c r="I629" s="548" t="s">
        <v>4385</v>
      </c>
      <c r="J629" s="548" t="s">
        <v>4386</v>
      </c>
      <c r="K629" s="570">
        <v>12749.99</v>
      </c>
      <c r="L629" s="570">
        <v>44.778500000000001</v>
      </c>
      <c r="M629" s="552">
        <f t="shared" si="45"/>
        <v>284.73463827506504</v>
      </c>
      <c r="N629" s="562">
        <v>120</v>
      </c>
      <c r="O629" s="563">
        <f t="shared" si="46"/>
        <v>106.24991666666666</v>
      </c>
      <c r="P629" s="564">
        <f t="shared" ca="1" si="47"/>
        <v>123</v>
      </c>
      <c r="Q629" s="552">
        <f t="shared" ca="1" si="48"/>
        <v>-318.74974999999904</v>
      </c>
      <c r="R629" s="563">
        <f t="shared" ca="1" si="49"/>
        <v>1</v>
      </c>
      <c r="S629" s="565" t="s">
        <v>1287</v>
      </c>
    </row>
    <row r="630" spans="1:19" ht="39.950000000000003" customHeight="1" x14ac:dyDescent="0.25">
      <c r="A630" s="323"/>
      <c r="B630" s="859">
        <v>42151</v>
      </c>
      <c r="C630" s="558" t="s">
        <v>2349</v>
      </c>
      <c r="D630" s="558"/>
      <c r="E630" s="565" t="s">
        <v>1274</v>
      </c>
      <c r="F630" s="548" t="s">
        <v>1275</v>
      </c>
      <c r="G630" s="559" t="s">
        <v>1276</v>
      </c>
      <c r="H630" s="548" t="s">
        <v>1277</v>
      </c>
      <c r="I630" s="548" t="s">
        <v>23</v>
      </c>
      <c r="J630" s="548" t="s">
        <v>1193</v>
      </c>
      <c r="K630" s="570">
        <v>32022.556666666667</v>
      </c>
      <c r="L630" s="570">
        <v>44.778500000000001</v>
      </c>
      <c r="M630" s="552">
        <f t="shared" si="45"/>
        <v>715.13241101570327</v>
      </c>
      <c r="N630" s="579">
        <v>60</v>
      </c>
      <c r="O630" s="563">
        <f t="shared" si="46"/>
        <v>533.70927777777774</v>
      </c>
      <c r="P630" s="564">
        <f t="shared" ca="1" si="47"/>
        <v>123</v>
      </c>
      <c r="Q630" s="552">
        <f t="shared" ca="1" si="48"/>
        <v>-33623.684499999988</v>
      </c>
      <c r="R630" s="563">
        <f t="shared" ca="1" si="49"/>
        <v>1</v>
      </c>
      <c r="S630" s="565" t="s">
        <v>1278</v>
      </c>
    </row>
    <row r="631" spans="1:19" ht="39.950000000000003" customHeight="1" x14ac:dyDescent="0.25">
      <c r="B631" s="859">
        <v>42151</v>
      </c>
      <c r="C631" s="558" t="s">
        <v>2349</v>
      </c>
      <c r="D631" s="558"/>
      <c r="E631" s="565" t="s">
        <v>1274</v>
      </c>
      <c r="F631" s="548" t="s">
        <v>1279</v>
      </c>
      <c r="G631" s="559" t="s">
        <v>1276</v>
      </c>
      <c r="H631" s="548" t="s">
        <v>1280</v>
      </c>
      <c r="I631" s="548" t="s">
        <v>23</v>
      </c>
      <c r="J631" s="548" t="s">
        <v>1193</v>
      </c>
      <c r="K631" s="570">
        <v>32022.556666666667</v>
      </c>
      <c r="L631" s="570">
        <v>44.778500000000001</v>
      </c>
      <c r="M631" s="552">
        <f t="shared" si="45"/>
        <v>715.13241101570327</v>
      </c>
      <c r="N631" s="562">
        <v>60</v>
      </c>
      <c r="O631" s="563">
        <f t="shared" si="46"/>
        <v>533.70927777777774</v>
      </c>
      <c r="P631" s="564">
        <f t="shared" ca="1" si="47"/>
        <v>123</v>
      </c>
      <c r="Q631" s="552">
        <f t="shared" ca="1" si="48"/>
        <v>-33623.684499999988</v>
      </c>
      <c r="R631" s="563">
        <f t="shared" ca="1" si="49"/>
        <v>1</v>
      </c>
      <c r="S631" s="565" t="s">
        <v>1278</v>
      </c>
    </row>
    <row r="632" spans="1:19" ht="39.950000000000003" customHeight="1" x14ac:dyDescent="0.25">
      <c r="B632" s="859">
        <v>42151</v>
      </c>
      <c r="C632" s="558" t="s">
        <v>2349</v>
      </c>
      <c r="D632" s="558"/>
      <c r="E632" s="565" t="s">
        <v>1274</v>
      </c>
      <c r="F632" s="548" t="s">
        <v>1281</v>
      </c>
      <c r="G632" s="559" t="s">
        <v>1276</v>
      </c>
      <c r="H632" s="548" t="s">
        <v>1282</v>
      </c>
      <c r="I632" s="548" t="s">
        <v>23</v>
      </c>
      <c r="J632" s="548" t="s">
        <v>1193</v>
      </c>
      <c r="K632" s="570">
        <v>32022.556666666667</v>
      </c>
      <c r="L632" s="570">
        <v>44.778500000000001</v>
      </c>
      <c r="M632" s="552">
        <f t="shared" si="45"/>
        <v>715.13241101570327</v>
      </c>
      <c r="N632" s="562">
        <v>60</v>
      </c>
      <c r="O632" s="563">
        <f t="shared" si="46"/>
        <v>533.70927777777774</v>
      </c>
      <c r="P632" s="564">
        <f t="shared" ca="1" si="47"/>
        <v>123</v>
      </c>
      <c r="Q632" s="552">
        <f t="shared" ca="1" si="48"/>
        <v>-33623.684499999988</v>
      </c>
      <c r="R632" s="563">
        <f t="shared" ca="1" si="49"/>
        <v>1</v>
      </c>
      <c r="S632" s="565" t="s">
        <v>1278</v>
      </c>
    </row>
    <row r="633" spans="1:19" ht="39.950000000000003" customHeight="1" x14ac:dyDescent="0.25">
      <c r="B633" s="859">
        <v>42151</v>
      </c>
      <c r="C633" s="558" t="s">
        <v>2349</v>
      </c>
      <c r="D633" s="558"/>
      <c r="E633" s="565" t="s">
        <v>1274</v>
      </c>
      <c r="F633" s="548" t="s">
        <v>1294</v>
      </c>
      <c r="G633" s="559" t="s">
        <v>1276</v>
      </c>
      <c r="H633" s="548" t="s">
        <v>1295</v>
      </c>
      <c r="I633" s="548" t="s">
        <v>4385</v>
      </c>
      <c r="J633" s="548" t="s">
        <v>4386</v>
      </c>
      <c r="K633" s="570">
        <v>32022.556666666667</v>
      </c>
      <c r="L633" s="570">
        <v>44.778500000000001</v>
      </c>
      <c r="M633" s="552">
        <f t="shared" si="45"/>
        <v>715.13241101570327</v>
      </c>
      <c r="N633" s="562">
        <v>60</v>
      </c>
      <c r="O633" s="563">
        <f t="shared" si="46"/>
        <v>533.70927777777774</v>
      </c>
      <c r="P633" s="564">
        <f t="shared" ca="1" si="47"/>
        <v>123</v>
      </c>
      <c r="Q633" s="552">
        <f t="shared" ca="1" si="48"/>
        <v>-33623.684499999988</v>
      </c>
      <c r="R633" s="563">
        <f t="shared" ca="1" si="49"/>
        <v>1</v>
      </c>
      <c r="S633" s="565" t="s">
        <v>1278</v>
      </c>
    </row>
    <row r="634" spans="1:19" ht="50.1" customHeight="1" x14ac:dyDescent="0.25">
      <c r="B634" s="859">
        <v>42151</v>
      </c>
      <c r="C634" s="558" t="s">
        <v>2349</v>
      </c>
      <c r="D634" s="558"/>
      <c r="E634" s="565" t="s">
        <v>1274</v>
      </c>
      <c r="F634" s="548" t="s">
        <v>1296</v>
      </c>
      <c r="G634" s="559" t="s">
        <v>1276</v>
      </c>
      <c r="H634" s="548" t="s">
        <v>1297</v>
      </c>
      <c r="I634" s="548" t="s">
        <v>4385</v>
      </c>
      <c r="J634" s="548" t="s">
        <v>4386</v>
      </c>
      <c r="K634" s="570">
        <v>32022.556666666667</v>
      </c>
      <c r="L634" s="570">
        <v>44.778500000000001</v>
      </c>
      <c r="M634" s="552">
        <f t="shared" si="45"/>
        <v>715.13241101570327</v>
      </c>
      <c r="N634" s="562">
        <v>60</v>
      </c>
      <c r="O634" s="563">
        <f t="shared" si="46"/>
        <v>533.70927777777774</v>
      </c>
      <c r="P634" s="564">
        <f t="shared" ca="1" si="47"/>
        <v>123</v>
      </c>
      <c r="Q634" s="552">
        <f t="shared" ca="1" si="48"/>
        <v>-33623.684499999988</v>
      </c>
      <c r="R634" s="563">
        <f t="shared" ca="1" si="49"/>
        <v>1</v>
      </c>
      <c r="S634" s="565" t="s">
        <v>1278</v>
      </c>
    </row>
    <row r="635" spans="1:19" ht="50.1" customHeight="1" x14ac:dyDescent="0.25">
      <c r="B635" s="859">
        <v>42151</v>
      </c>
      <c r="C635" s="558" t="s">
        <v>2349</v>
      </c>
      <c r="D635" s="558"/>
      <c r="E635" s="565" t="s">
        <v>1274</v>
      </c>
      <c r="F635" s="548" t="s">
        <v>1298</v>
      </c>
      <c r="G635" s="559" t="s">
        <v>1276</v>
      </c>
      <c r="H635" s="548" t="s">
        <v>1299</v>
      </c>
      <c r="I635" s="548" t="s">
        <v>4385</v>
      </c>
      <c r="J635" s="548" t="s">
        <v>4386</v>
      </c>
      <c r="K635" s="570">
        <v>32022.556666666667</v>
      </c>
      <c r="L635" s="570">
        <v>44.778500000000001</v>
      </c>
      <c r="M635" s="552">
        <f t="shared" si="45"/>
        <v>715.13241101570327</v>
      </c>
      <c r="N635" s="562">
        <v>60</v>
      </c>
      <c r="O635" s="563">
        <f t="shared" si="46"/>
        <v>533.70927777777774</v>
      </c>
      <c r="P635" s="564">
        <f t="shared" ca="1" si="47"/>
        <v>123</v>
      </c>
      <c r="Q635" s="552">
        <f t="shared" ca="1" si="48"/>
        <v>-33623.684499999988</v>
      </c>
      <c r="R635" s="563">
        <f t="shared" ca="1" si="49"/>
        <v>1</v>
      </c>
      <c r="S635" s="565" t="s">
        <v>1287</v>
      </c>
    </row>
    <row r="636" spans="1:19" ht="50.1" customHeight="1" x14ac:dyDescent="0.25">
      <c r="A636" s="323"/>
      <c r="B636" s="859">
        <v>42151</v>
      </c>
      <c r="C636" s="558" t="s">
        <v>2349</v>
      </c>
      <c r="D636" s="558"/>
      <c r="E636" s="565" t="s">
        <v>1198</v>
      </c>
      <c r="F636" s="548" t="s">
        <v>1267</v>
      </c>
      <c r="G636" s="559" t="s">
        <v>1268</v>
      </c>
      <c r="H636" s="841" t="s">
        <v>1269</v>
      </c>
      <c r="I636" s="548" t="s">
        <v>1270</v>
      </c>
      <c r="J636" s="548" t="s">
        <v>19</v>
      </c>
      <c r="K636" s="570">
        <v>1296750.5699999998</v>
      </c>
      <c r="L636" s="570">
        <v>44.748199999999997</v>
      </c>
      <c r="M636" s="552">
        <f t="shared" si="45"/>
        <v>28978.831997711637</v>
      </c>
      <c r="N636" s="562">
        <v>120</v>
      </c>
      <c r="O636" s="563">
        <f t="shared" si="46"/>
        <v>10806.254749999998</v>
      </c>
      <c r="P636" s="564">
        <f t="shared" ca="1" si="47"/>
        <v>123</v>
      </c>
      <c r="Q636" s="552">
        <f t="shared" ca="1" si="48"/>
        <v>-32418.764250000007</v>
      </c>
      <c r="R636" s="563">
        <f t="shared" ca="1" si="49"/>
        <v>1</v>
      </c>
      <c r="S636" s="565" t="s">
        <v>1201</v>
      </c>
    </row>
    <row r="637" spans="1:19" ht="50.1" customHeight="1" x14ac:dyDescent="0.25">
      <c r="B637" s="859">
        <v>42151</v>
      </c>
      <c r="C637" s="558" t="s">
        <v>2349</v>
      </c>
      <c r="D637" s="558"/>
      <c r="E637" s="565" t="s">
        <v>1302</v>
      </c>
      <c r="F637" s="548" t="s">
        <v>1303</v>
      </c>
      <c r="G637" s="559" t="s">
        <v>1268</v>
      </c>
      <c r="H637" s="841" t="s">
        <v>1304</v>
      </c>
      <c r="I637" s="548" t="s">
        <v>4385</v>
      </c>
      <c r="J637" s="548" t="s">
        <v>1229</v>
      </c>
      <c r="K637" s="570">
        <v>1296749.7199999997</v>
      </c>
      <c r="L637" s="570">
        <v>44.778500000000001</v>
      </c>
      <c r="M637" s="552">
        <f t="shared" si="45"/>
        <v>28959.204082316282</v>
      </c>
      <c r="N637" s="562">
        <v>120</v>
      </c>
      <c r="O637" s="563">
        <f t="shared" si="46"/>
        <v>10806.247666666664</v>
      </c>
      <c r="P637" s="564">
        <f t="shared" ca="1" si="47"/>
        <v>123</v>
      </c>
      <c r="Q637" s="552">
        <f t="shared" ca="1" si="48"/>
        <v>-32418.743000000017</v>
      </c>
      <c r="R637" s="563">
        <f t="shared" ca="1" si="49"/>
        <v>1</v>
      </c>
      <c r="S637" s="565" t="s">
        <v>1305</v>
      </c>
    </row>
    <row r="638" spans="1:19" ht="50.1" customHeight="1" x14ac:dyDescent="0.25">
      <c r="A638" s="323"/>
      <c r="B638" s="859">
        <v>42152</v>
      </c>
      <c r="C638" s="558" t="s">
        <v>2349</v>
      </c>
      <c r="D638" s="558"/>
      <c r="E638" s="565" t="s">
        <v>1306</v>
      </c>
      <c r="F638" s="548" t="s">
        <v>1307</v>
      </c>
      <c r="G638" s="559" t="s">
        <v>1268</v>
      </c>
      <c r="H638" s="841" t="s">
        <v>1308</v>
      </c>
      <c r="I638" s="548" t="s">
        <v>519</v>
      </c>
      <c r="J638" s="548" t="s">
        <v>1309</v>
      </c>
      <c r="K638" s="570">
        <v>1296749.71</v>
      </c>
      <c r="L638" s="570">
        <v>44.807499999999997</v>
      </c>
      <c r="M638" s="552">
        <f t="shared" si="45"/>
        <v>28940.461083523965</v>
      </c>
      <c r="N638" s="562">
        <v>120</v>
      </c>
      <c r="O638" s="563">
        <f t="shared" si="46"/>
        <v>10806.247583333334</v>
      </c>
      <c r="P638" s="564">
        <f t="shared" ca="1" si="47"/>
        <v>123</v>
      </c>
      <c r="Q638" s="552">
        <f t="shared" ca="1" si="48"/>
        <v>-32418.742749999976</v>
      </c>
      <c r="R638" s="563">
        <f t="shared" ca="1" si="49"/>
        <v>1</v>
      </c>
      <c r="S638" s="565" t="s">
        <v>1305</v>
      </c>
    </row>
    <row r="639" spans="1:19" ht="54.75" customHeight="1" x14ac:dyDescent="0.25">
      <c r="A639" s="323"/>
      <c r="B639" s="859">
        <v>42249</v>
      </c>
      <c r="C639" s="558" t="s">
        <v>2349</v>
      </c>
      <c r="D639" s="558"/>
      <c r="E639" s="565" t="s">
        <v>1310</v>
      </c>
      <c r="F639" s="548" t="s">
        <v>1311</v>
      </c>
      <c r="G639" s="559" t="s">
        <v>1312</v>
      </c>
      <c r="H639" s="841" t="s">
        <v>1313</v>
      </c>
      <c r="I639" s="548" t="s">
        <v>1314</v>
      </c>
      <c r="J639" s="548" t="s">
        <v>19</v>
      </c>
      <c r="K639" s="580">
        <v>1474500</v>
      </c>
      <c r="L639" s="580">
        <v>45.0047</v>
      </c>
      <c r="M639" s="552">
        <f t="shared" si="45"/>
        <v>32763.244727772879</v>
      </c>
      <c r="N639" s="526">
        <v>120</v>
      </c>
      <c r="O639" s="563">
        <f t="shared" si="46"/>
        <v>12287.5</v>
      </c>
      <c r="P639" s="564">
        <f t="shared" ca="1" si="47"/>
        <v>120</v>
      </c>
      <c r="Q639" s="552">
        <f t="shared" ca="1" si="48"/>
        <v>0</v>
      </c>
      <c r="R639" s="563">
        <f t="shared" ca="1" si="49"/>
        <v>1</v>
      </c>
      <c r="S639" s="565" t="s">
        <v>1315</v>
      </c>
    </row>
    <row r="640" spans="1:19" ht="39.950000000000003" customHeight="1" x14ac:dyDescent="0.25">
      <c r="A640" s="323"/>
      <c r="B640" s="859">
        <v>42347</v>
      </c>
      <c r="C640" s="558" t="s">
        <v>2349</v>
      </c>
      <c r="D640" s="558"/>
      <c r="E640" s="565" t="s">
        <v>1316</v>
      </c>
      <c r="F640" s="548" t="s">
        <v>1317</v>
      </c>
      <c r="G640" s="559" t="s">
        <v>1318</v>
      </c>
      <c r="H640" s="548" t="s">
        <v>28</v>
      </c>
      <c r="I640" s="548" t="s">
        <v>764</v>
      </c>
      <c r="J640" s="548" t="s">
        <v>19</v>
      </c>
      <c r="K640" s="580">
        <v>25960</v>
      </c>
      <c r="L640" s="580">
        <v>45.424700000000001</v>
      </c>
      <c r="M640" s="552">
        <f t="shared" si="45"/>
        <v>571.49524377706405</v>
      </c>
      <c r="N640" s="526">
        <v>60</v>
      </c>
      <c r="O640" s="563">
        <f t="shared" si="46"/>
        <v>432.66666666666669</v>
      </c>
      <c r="P640" s="564">
        <f t="shared" ca="1" si="47"/>
        <v>117</v>
      </c>
      <c r="Q640" s="552">
        <f t="shared" ca="1" si="48"/>
        <v>-24662</v>
      </c>
      <c r="R640" s="563">
        <f t="shared" ca="1" si="49"/>
        <v>1</v>
      </c>
      <c r="S640" s="565" t="s">
        <v>1319</v>
      </c>
    </row>
    <row r="641" spans="2:19" ht="49.5" customHeight="1" x14ac:dyDescent="0.25">
      <c r="B641" s="859">
        <v>42359</v>
      </c>
      <c r="C641" s="558" t="s">
        <v>2349</v>
      </c>
      <c r="D641" s="558"/>
      <c r="E641" s="565" t="s">
        <v>1323</v>
      </c>
      <c r="F641" s="548" t="s">
        <v>1324</v>
      </c>
      <c r="G641" s="559" t="s">
        <v>1200</v>
      </c>
      <c r="H641" s="548" t="s">
        <v>28</v>
      </c>
      <c r="I641" s="548" t="s">
        <v>742</v>
      </c>
      <c r="J641" s="548" t="s">
        <v>19</v>
      </c>
      <c r="K641" s="580">
        <v>5146.45</v>
      </c>
      <c r="L641" s="580">
        <v>45.481699999999996</v>
      </c>
      <c r="M641" s="552">
        <f t="shared" si="45"/>
        <v>113.1543016202121</v>
      </c>
      <c r="N641" s="526">
        <v>60</v>
      </c>
      <c r="O641" s="563">
        <f t="shared" si="46"/>
        <v>85.774166666666659</v>
      </c>
      <c r="P641" s="564">
        <f t="shared" ca="1" si="47"/>
        <v>116</v>
      </c>
      <c r="Q641" s="552">
        <f t="shared" ca="1" si="48"/>
        <v>-4803.3533333333335</v>
      </c>
      <c r="R641" s="563">
        <f t="shared" ca="1" si="49"/>
        <v>1</v>
      </c>
      <c r="S641" s="565" t="s">
        <v>1201</v>
      </c>
    </row>
    <row r="642" spans="2:19" ht="39.950000000000003" customHeight="1" x14ac:dyDescent="0.25">
      <c r="B642" s="859">
        <v>42359</v>
      </c>
      <c r="C642" s="558" t="s">
        <v>2349</v>
      </c>
      <c r="D642" s="558"/>
      <c r="E642" s="565" t="s">
        <v>1320</v>
      </c>
      <c r="F642" s="548" t="s">
        <v>1321</v>
      </c>
      <c r="G642" s="559" t="s">
        <v>1322</v>
      </c>
      <c r="H642" s="548" t="s">
        <v>28</v>
      </c>
      <c r="I642" s="548" t="s">
        <v>764</v>
      </c>
      <c r="J642" s="548" t="s">
        <v>19</v>
      </c>
      <c r="K642" s="580">
        <v>16192.31</v>
      </c>
      <c r="L642" s="580">
        <v>45.481699999999996</v>
      </c>
      <c r="M642" s="552">
        <f t="shared" si="45"/>
        <v>356.01813476629064</v>
      </c>
      <c r="N642" s="526">
        <v>60</v>
      </c>
      <c r="O642" s="563">
        <f t="shared" si="46"/>
        <v>269.87183333333331</v>
      </c>
      <c r="P642" s="564">
        <f t="shared" ca="1" si="47"/>
        <v>116</v>
      </c>
      <c r="Q642" s="552">
        <f t="shared" ca="1" si="48"/>
        <v>-15112.822666666665</v>
      </c>
      <c r="R642" s="563">
        <f t="shared" ca="1" si="49"/>
        <v>1</v>
      </c>
      <c r="S642" s="565" t="s">
        <v>1201</v>
      </c>
    </row>
    <row r="643" spans="2:19" ht="57.75" customHeight="1" x14ac:dyDescent="0.25">
      <c r="B643" s="363">
        <v>42779</v>
      </c>
      <c r="C643" s="558" t="s">
        <v>2349</v>
      </c>
      <c r="D643" s="558"/>
      <c r="E643" s="565" t="s">
        <v>1325</v>
      </c>
      <c r="F643" s="548" t="s">
        <v>1328</v>
      </c>
      <c r="G643" s="559" t="s">
        <v>1326</v>
      </c>
      <c r="H643" s="548" t="s">
        <v>1329</v>
      </c>
      <c r="I643" s="548" t="s">
        <v>23</v>
      </c>
      <c r="J643" s="548" t="s">
        <v>1330</v>
      </c>
      <c r="K643" s="580">
        <v>25915.25</v>
      </c>
      <c r="L643" s="580">
        <v>47.043599999999998</v>
      </c>
      <c r="M643" s="552">
        <f t="shared" si="45"/>
        <v>550.87727129726466</v>
      </c>
      <c r="N643" s="526">
        <v>60</v>
      </c>
      <c r="O643" s="563">
        <f t="shared" si="46"/>
        <v>431.92083333333335</v>
      </c>
      <c r="P643" s="564">
        <f t="shared" ca="1" si="47"/>
        <v>102</v>
      </c>
      <c r="Q643" s="552">
        <f t="shared" ca="1" si="48"/>
        <v>-18140.675000000003</v>
      </c>
      <c r="R643" s="563">
        <f t="shared" ca="1" si="49"/>
        <v>1</v>
      </c>
      <c r="S643" s="565" t="s">
        <v>1327</v>
      </c>
    </row>
    <row r="644" spans="2:19" ht="53.25" customHeight="1" x14ac:dyDescent="0.25">
      <c r="B644" s="363">
        <v>42779</v>
      </c>
      <c r="C644" s="558" t="s">
        <v>2349</v>
      </c>
      <c r="D644" s="558"/>
      <c r="E644" s="565" t="s">
        <v>1325</v>
      </c>
      <c r="F644" s="548" t="s">
        <v>1331</v>
      </c>
      <c r="G644" s="559" t="s">
        <v>1326</v>
      </c>
      <c r="H644" s="548" t="s">
        <v>1332</v>
      </c>
      <c r="I644" s="548" t="s">
        <v>29</v>
      </c>
      <c r="J644" s="548" t="s">
        <v>1333</v>
      </c>
      <c r="K644" s="580">
        <v>25915.25</v>
      </c>
      <c r="L644" s="580">
        <v>47.043599999999998</v>
      </c>
      <c r="M644" s="552">
        <f t="shared" si="45"/>
        <v>550.87727129726466</v>
      </c>
      <c r="N644" s="526">
        <v>60</v>
      </c>
      <c r="O644" s="563">
        <f t="shared" si="46"/>
        <v>431.92083333333335</v>
      </c>
      <c r="P644" s="564">
        <f t="shared" ca="1" si="47"/>
        <v>102</v>
      </c>
      <c r="Q644" s="552">
        <f t="shared" ca="1" si="48"/>
        <v>-18140.675000000003</v>
      </c>
      <c r="R644" s="563">
        <f t="shared" ca="1" si="49"/>
        <v>1</v>
      </c>
      <c r="S644" s="565" t="s">
        <v>1327</v>
      </c>
    </row>
    <row r="645" spans="2:19" ht="53.25" customHeight="1" x14ac:dyDescent="0.25">
      <c r="B645" s="363">
        <v>42779</v>
      </c>
      <c r="C645" s="558" t="s">
        <v>2349</v>
      </c>
      <c r="D645" s="558"/>
      <c r="E645" s="565" t="s">
        <v>1325</v>
      </c>
      <c r="F645" s="548" t="s">
        <v>1334</v>
      </c>
      <c r="G645" s="559" t="s">
        <v>1326</v>
      </c>
      <c r="H645" s="548" t="s">
        <v>1335</v>
      </c>
      <c r="I645" s="548" t="s">
        <v>318</v>
      </c>
      <c r="J645" s="548" t="s">
        <v>442</v>
      </c>
      <c r="K645" s="580">
        <v>25915.25</v>
      </c>
      <c r="L645" s="580">
        <v>47.043599999999998</v>
      </c>
      <c r="M645" s="552">
        <f t="shared" si="45"/>
        <v>550.87727129726466</v>
      </c>
      <c r="N645" s="526">
        <v>60</v>
      </c>
      <c r="O645" s="563">
        <f t="shared" si="46"/>
        <v>431.92083333333335</v>
      </c>
      <c r="P645" s="564">
        <f t="shared" ca="1" si="47"/>
        <v>102</v>
      </c>
      <c r="Q645" s="552">
        <f t="shared" ca="1" si="48"/>
        <v>-18140.675000000003</v>
      </c>
      <c r="R645" s="563">
        <f t="shared" ca="1" si="49"/>
        <v>1</v>
      </c>
      <c r="S645" s="565" t="s">
        <v>1327</v>
      </c>
    </row>
    <row r="646" spans="2:19" ht="39.950000000000003" customHeight="1" x14ac:dyDescent="0.25">
      <c r="B646" s="363">
        <v>42779</v>
      </c>
      <c r="C646" s="558" t="s">
        <v>2349</v>
      </c>
      <c r="D646" s="558"/>
      <c r="E646" s="565" t="s">
        <v>1325</v>
      </c>
      <c r="F646" s="548" t="s">
        <v>1336</v>
      </c>
      <c r="G646" s="559" t="s">
        <v>1326</v>
      </c>
      <c r="H646" s="548" t="s">
        <v>1337</v>
      </c>
      <c r="I646" s="548" t="s">
        <v>23</v>
      </c>
      <c r="J646" s="548" t="s">
        <v>442</v>
      </c>
      <c r="K646" s="580">
        <v>25915.25</v>
      </c>
      <c r="L646" s="580">
        <v>47.043599999999998</v>
      </c>
      <c r="M646" s="552">
        <f t="shared" si="45"/>
        <v>550.87727129726466</v>
      </c>
      <c r="N646" s="526">
        <v>60</v>
      </c>
      <c r="O646" s="563">
        <f t="shared" si="46"/>
        <v>431.92083333333335</v>
      </c>
      <c r="P646" s="564">
        <f t="shared" ca="1" si="47"/>
        <v>102</v>
      </c>
      <c r="Q646" s="552">
        <f t="shared" ca="1" si="48"/>
        <v>-18140.675000000003</v>
      </c>
      <c r="R646" s="563">
        <f t="shared" ca="1" si="49"/>
        <v>1</v>
      </c>
      <c r="S646" s="565" t="s">
        <v>1327</v>
      </c>
    </row>
    <row r="647" spans="2:19" ht="48.75" customHeight="1" x14ac:dyDescent="0.25">
      <c r="B647" s="363">
        <v>42779</v>
      </c>
      <c r="C647" s="558" t="s">
        <v>2349</v>
      </c>
      <c r="D647" s="558"/>
      <c r="E647" s="565" t="s">
        <v>1325</v>
      </c>
      <c r="F647" s="548" t="s">
        <v>1338</v>
      </c>
      <c r="G647" s="559" t="s">
        <v>1326</v>
      </c>
      <c r="H647" s="548" t="s">
        <v>1339</v>
      </c>
      <c r="I647" s="548" t="s">
        <v>1340</v>
      </c>
      <c r="J647" s="548" t="s">
        <v>1341</v>
      </c>
      <c r="K647" s="580">
        <v>25915.25</v>
      </c>
      <c r="L647" s="580">
        <v>47.043599999999998</v>
      </c>
      <c r="M647" s="552">
        <f t="shared" si="45"/>
        <v>550.87727129726466</v>
      </c>
      <c r="N647" s="526">
        <v>60</v>
      </c>
      <c r="O647" s="563">
        <f t="shared" si="46"/>
        <v>431.92083333333335</v>
      </c>
      <c r="P647" s="564">
        <f t="shared" ca="1" si="47"/>
        <v>102</v>
      </c>
      <c r="Q647" s="552">
        <f t="shared" ca="1" si="48"/>
        <v>-18140.675000000003</v>
      </c>
      <c r="R647" s="563">
        <f t="shared" ca="1" si="49"/>
        <v>1</v>
      </c>
      <c r="S647" s="565" t="s">
        <v>1327</v>
      </c>
    </row>
    <row r="648" spans="2:19" ht="52.5" customHeight="1" x14ac:dyDescent="0.25">
      <c r="B648" s="363">
        <v>42779</v>
      </c>
      <c r="C648" s="558" t="s">
        <v>2349</v>
      </c>
      <c r="D648" s="558"/>
      <c r="E648" s="565" t="s">
        <v>1325</v>
      </c>
      <c r="F648" s="548" t="s">
        <v>1342</v>
      </c>
      <c r="G648" s="559" t="s">
        <v>1326</v>
      </c>
      <c r="H648" s="548" t="s">
        <v>1343</v>
      </c>
      <c r="I648" s="548" t="s">
        <v>1344</v>
      </c>
      <c r="J648" s="548" t="s">
        <v>1345</v>
      </c>
      <c r="K648" s="580">
        <v>25915.25</v>
      </c>
      <c r="L648" s="580">
        <v>47.043599999999998</v>
      </c>
      <c r="M648" s="552">
        <f t="shared" ref="M648:M671" si="50">+K648/L648</f>
        <v>550.87727129726466</v>
      </c>
      <c r="N648" s="526">
        <v>60</v>
      </c>
      <c r="O648" s="563">
        <f t="shared" ref="O648:O711" si="51">IF(AND(K648&lt;&gt;0,N648&lt;&gt;0),K648/N648,0)</f>
        <v>431.92083333333335</v>
      </c>
      <c r="P648" s="564">
        <f t="shared" ref="P648:P711" ca="1" si="52">IF(B648&lt;&gt;0,(ROUND((NOW()-B648)/30,0)),0)</f>
        <v>102</v>
      </c>
      <c r="Q648" s="552">
        <f t="shared" ref="Q648:Q711" ca="1" si="53">IF(OR(K648=0,N648=0,P648=0),0,K648-(O648*P648))</f>
        <v>-18140.675000000003</v>
      </c>
      <c r="R648" s="563">
        <f t="shared" ref="R648:R711" ca="1" si="54">IF(Q648&lt;1,1,Q648)</f>
        <v>1</v>
      </c>
      <c r="S648" s="565" t="s">
        <v>1327</v>
      </c>
    </row>
    <row r="649" spans="2:19" ht="53.25" customHeight="1" x14ac:dyDescent="0.25">
      <c r="B649" s="363">
        <v>42779</v>
      </c>
      <c r="C649" s="558" t="s">
        <v>2349</v>
      </c>
      <c r="D649" s="558"/>
      <c r="E649" s="565" t="s">
        <v>1325</v>
      </c>
      <c r="F649" s="548" t="s">
        <v>1346</v>
      </c>
      <c r="G649" s="559" t="s">
        <v>1326</v>
      </c>
      <c r="H649" s="548" t="s">
        <v>1347</v>
      </c>
      <c r="I649" s="548" t="s">
        <v>1348</v>
      </c>
      <c r="J649" s="548" t="s">
        <v>1349</v>
      </c>
      <c r="K649" s="580">
        <v>25915.25</v>
      </c>
      <c r="L649" s="580">
        <v>47.043599999999998</v>
      </c>
      <c r="M649" s="552">
        <f t="shared" si="50"/>
        <v>550.87727129726466</v>
      </c>
      <c r="N649" s="526">
        <v>60</v>
      </c>
      <c r="O649" s="563">
        <f t="shared" si="51"/>
        <v>431.92083333333335</v>
      </c>
      <c r="P649" s="564">
        <f t="shared" ca="1" si="52"/>
        <v>102</v>
      </c>
      <c r="Q649" s="552">
        <f t="shared" ca="1" si="53"/>
        <v>-18140.675000000003</v>
      </c>
      <c r="R649" s="563">
        <f t="shared" ca="1" si="54"/>
        <v>1</v>
      </c>
      <c r="S649" s="565" t="s">
        <v>1327</v>
      </c>
    </row>
    <row r="650" spans="2:19" ht="39.950000000000003" customHeight="1" x14ac:dyDescent="0.25">
      <c r="B650" s="363">
        <v>42779</v>
      </c>
      <c r="C650" s="558" t="s">
        <v>2349</v>
      </c>
      <c r="D650" s="558"/>
      <c r="E650" s="565" t="s">
        <v>1325</v>
      </c>
      <c r="F650" s="548" t="s">
        <v>1350</v>
      </c>
      <c r="G650" s="559" t="s">
        <v>1326</v>
      </c>
      <c r="H650" s="548" t="s">
        <v>1351</v>
      </c>
      <c r="I650" s="548" t="s">
        <v>23</v>
      </c>
      <c r="J650" s="548" t="s">
        <v>1352</v>
      </c>
      <c r="K650" s="580">
        <v>25915.25</v>
      </c>
      <c r="L650" s="580">
        <v>47.043599999999998</v>
      </c>
      <c r="M650" s="552">
        <f t="shared" si="50"/>
        <v>550.87727129726466</v>
      </c>
      <c r="N650" s="526">
        <v>60</v>
      </c>
      <c r="O650" s="563">
        <f t="shared" si="51"/>
        <v>431.92083333333335</v>
      </c>
      <c r="P650" s="564">
        <f t="shared" ca="1" si="52"/>
        <v>102</v>
      </c>
      <c r="Q650" s="552">
        <f t="shared" ca="1" si="53"/>
        <v>-18140.675000000003</v>
      </c>
      <c r="R650" s="563">
        <f t="shared" ca="1" si="54"/>
        <v>1</v>
      </c>
      <c r="S650" s="565" t="s">
        <v>1327</v>
      </c>
    </row>
    <row r="651" spans="2:19" ht="53.25" customHeight="1" x14ac:dyDescent="0.25">
      <c r="B651" s="363">
        <v>42779</v>
      </c>
      <c r="C651" s="558" t="s">
        <v>2349</v>
      </c>
      <c r="D651" s="558"/>
      <c r="E651" s="565" t="s">
        <v>1325</v>
      </c>
      <c r="F651" s="548" t="s">
        <v>1353</v>
      </c>
      <c r="G651" s="559" t="s">
        <v>1326</v>
      </c>
      <c r="H651" s="548" t="s">
        <v>1354</v>
      </c>
      <c r="I651" s="548" t="s">
        <v>519</v>
      </c>
      <c r="J651" s="548" t="s">
        <v>1355</v>
      </c>
      <c r="K651" s="580">
        <v>25915.25</v>
      </c>
      <c r="L651" s="580">
        <v>47.043599999999998</v>
      </c>
      <c r="M651" s="552">
        <f t="shared" si="50"/>
        <v>550.87727129726466</v>
      </c>
      <c r="N651" s="526">
        <v>60</v>
      </c>
      <c r="O651" s="563">
        <f t="shared" si="51"/>
        <v>431.92083333333335</v>
      </c>
      <c r="P651" s="564">
        <f t="shared" ca="1" si="52"/>
        <v>102</v>
      </c>
      <c r="Q651" s="552">
        <f t="shared" ca="1" si="53"/>
        <v>-18140.675000000003</v>
      </c>
      <c r="R651" s="563">
        <f t="shared" ca="1" si="54"/>
        <v>1</v>
      </c>
      <c r="S651" s="565" t="s">
        <v>1327</v>
      </c>
    </row>
    <row r="652" spans="2:19" ht="49.5" customHeight="1" x14ac:dyDescent="0.25">
      <c r="B652" s="363">
        <v>42779</v>
      </c>
      <c r="C652" s="558" t="s">
        <v>2349</v>
      </c>
      <c r="D652" s="558"/>
      <c r="E652" s="565" t="s">
        <v>1325</v>
      </c>
      <c r="F652" s="548" t="s">
        <v>1356</v>
      </c>
      <c r="G652" s="559" t="s">
        <v>1326</v>
      </c>
      <c r="H652" s="548" t="s">
        <v>18</v>
      </c>
      <c r="I652" s="548" t="s">
        <v>1357</v>
      </c>
      <c r="J652" s="548" t="s">
        <v>1358</v>
      </c>
      <c r="K652" s="580">
        <v>25915.25</v>
      </c>
      <c r="L652" s="580">
        <v>47.043599999999998</v>
      </c>
      <c r="M652" s="552">
        <f t="shared" si="50"/>
        <v>550.87727129726466</v>
      </c>
      <c r="N652" s="526">
        <v>60</v>
      </c>
      <c r="O652" s="563">
        <f t="shared" si="51"/>
        <v>431.92083333333335</v>
      </c>
      <c r="P652" s="564">
        <f t="shared" ca="1" si="52"/>
        <v>102</v>
      </c>
      <c r="Q652" s="552">
        <f t="shared" ca="1" si="53"/>
        <v>-18140.675000000003</v>
      </c>
      <c r="R652" s="563">
        <f t="shared" ca="1" si="54"/>
        <v>1</v>
      </c>
      <c r="S652" s="565" t="s">
        <v>1327</v>
      </c>
    </row>
    <row r="653" spans="2:19" ht="50.25" customHeight="1" x14ac:dyDescent="0.25">
      <c r="B653" s="363">
        <v>42796</v>
      </c>
      <c r="C653" s="558" t="s">
        <v>2349</v>
      </c>
      <c r="D653" s="558"/>
      <c r="E653" s="565" t="s">
        <v>1359</v>
      </c>
      <c r="F653" s="548" t="s">
        <v>1360</v>
      </c>
      <c r="G653" s="559" t="s">
        <v>1361</v>
      </c>
      <c r="H653" s="548" t="s">
        <v>1362</v>
      </c>
      <c r="I653" s="569" t="s">
        <v>1363</v>
      </c>
      <c r="J653" s="548" t="s">
        <v>1364</v>
      </c>
      <c r="K653" s="580">
        <v>25915.25</v>
      </c>
      <c r="L653" s="580">
        <v>47.139099999999999</v>
      </c>
      <c r="M653" s="552">
        <f t="shared" si="50"/>
        <v>549.76123854719333</v>
      </c>
      <c r="N653" s="526">
        <v>60</v>
      </c>
      <c r="O653" s="563">
        <f t="shared" si="51"/>
        <v>431.92083333333335</v>
      </c>
      <c r="P653" s="564">
        <f t="shared" ca="1" si="52"/>
        <v>102</v>
      </c>
      <c r="Q653" s="552">
        <f t="shared" ca="1" si="53"/>
        <v>-18140.675000000003</v>
      </c>
      <c r="R653" s="563">
        <f t="shared" ca="1" si="54"/>
        <v>1</v>
      </c>
      <c r="S653" s="565" t="s">
        <v>1327</v>
      </c>
    </row>
    <row r="654" spans="2:19" ht="39.950000000000003" customHeight="1" x14ac:dyDescent="0.25">
      <c r="B654" s="363">
        <v>42796</v>
      </c>
      <c r="C654" s="558" t="s">
        <v>2349</v>
      </c>
      <c r="D654" s="558"/>
      <c r="E654" s="565" t="s">
        <v>1359</v>
      </c>
      <c r="F654" s="548" t="s">
        <v>1365</v>
      </c>
      <c r="G654" s="559" t="s">
        <v>1361</v>
      </c>
      <c r="H654" s="548" t="s">
        <v>1366</v>
      </c>
      <c r="I654" s="548" t="s">
        <v>4384</v>
      </c>
      <c r="J654" s="548" t="s">
        <v>1293</v>
      </c>
      <c r="K654" s="580">
        <v>25915.25</v>
      </c>
      <c r="L654" s="580">
        <v>47.139099999999999</v>
      </c>
      <c r="M654" s="552">
        <f t="shared" si="50"/>
        <v>549.76123854719333</v>
      </c>
      <c r="N654" s="526">
        <v>60</v>
      </c>
      <c r="O654" s="563">
        <f t="shared" si="51"/>
        <v>431.92083333333335</v>
      </c>
      <c r="P654" s="564">
        <f t="shared" ca="1" si="52"/>
        <v>102</v>
      </c>
      <c r="Q654" s="552">
        <f t="shared" ca="1" si="53"/>
        <v>-18140.675000000003</v>
      </c>
      <c r="R654" s="563">
        <f t="shared" ca="1" si="54"/>
        <v>1</v>
      </c>
      <c r="S654" s="565" t="s">
        <v>1327</v>
      </c>
    </row>
    <row r="655" spans="2:19" ht="55.5" customHeight="1" x14ac:dyDescent="0.25">
      <c r="B655" s="363">
        <v>42796</v>
      </c>
      <c r="C655" s="558" t="s">
        <v>2349</v>
      </c>
      <c r="D655" s="558"/>
      <c r="E655" s="565" t="s">
        <v>1359</v>
      </c>
      <c r="F655" s="548" t="s">
        <v>1367</v>
      </c>
      <c r="G655" s="559" t="s">
        <v>1361</v>
      </c>
      <c r="H655" s="548" t="s">
        <v>1368</v>
      </c>
      <c r="I655" s="569" t="s">
        <v>1369</v>
      </c>
      <c r="J655" s="548" t="s">
        <v>1370</v>
      </c>
      <c r="K655" s="580">
        <v>25915.25</v>
      </c>
      <c r="L655" s="580">
        <v>47.139099999999999</v>
      </c>
      <c r="M655" s="552">
        <f t="shared" si="50"/>
        <v>549.76123854719333</v>
      </c>
      <c r="N655" s="526">
        <v>60</v>
      </c>
      <c r="O655" s="563">
        <f t="shared" si="51"/>
        <v>431.92083333333335</v>
      </c>
      <c r="P655" s="564">
        <f t="shared" ca="1" si="52"/>
        <v>102</v>
      </c>
      <c r="Q655" s="552">
        <f t="shared" ca="1" si="53"/>
        <v>-18140.675000000003</v>
      </c>
      <c r="R655" s="563">
        <f t="shared" ca="1" si="54"/>
        <v>1</v>
      </c>
      <c r="S655" s="565" t="s">
        <v>1327</v>
      </c>
    </row>
    <row r="656" spans="2:19" ht="54" customHeight="1" x14ac:dyDescent="0.25">
      <c r="B656" s="363">
        <v>42796</v>
      </c>
      <c r="C656" s="558" t="s">
        <v>2349</v>
      </c>
      <c r="D656" s="558"/>
      <c r="E656" s="565" t="s">
        <v>1359</v>
      </c>
      <c r="F656" s="548" t="s">
        <v>1371</v>
      </c>
      <c r="G656" s="559" t="s">
        <v>1361</v>
      </c>
      <c r="H656" s="548" t="s">
        <v>1372</v>
      </c>
      <c r="I656" s="548" t="s">
        <v>213</v>
      </c>
      <c r="J656" s="548" t="s">
        <v>214</v>
      </c>
      <c r="K656" s="580">
        <v>25915.25</v>
      </c>
      <c r="L656" s="580">
        <v>47.139099999999999</v>
      </c>
      <c r="M656" s="552">
        <f t="shared" si="50"/>
        <v>549.76123854719333</v>
      </c>
      <c r="N656" s="526">
        <v>60</v>
      </c>
      <c r="O656" s="563">
        <f t="shared" si="51"/>
        <v>431.92083333333335</v>
      </c>
      <c r="P656" s="564">
        <f t="shared" ca="1" si="52"/>
        <v>102</v>
      </c>
      <c r="Q656" s="552">
        <f t="shared" ca="1" si="53"/>
        <v>-18140.675000000003</v>
      </c>
      <c r="R656" s="563">
        <f t="shared" ca="1" si="54"/>
        <v>1</v>
      </c>
      <c r="S656" s="565" t="s">
        <v>1327</v>
      </c>
    </row>
    <row r="657" spans="2:19" ht="51.75" customHeight="1" x14ac:dyDescent="0.25">
      <c r="B657" s="363">
        <v>42796</v>
      </c>
      <c r="C657" s="558" t="s">
        <v>2349</v>
      </c>
      <c r="D657" s="558"/>
      <c r="E657" s="565" t="s">
        <v>1359</v>
      </c>
      <c r="F657" s="548" t="s">
        <v>1373</v>
      </c>
      <c r="G657" s="559" t="s">
        <v>1361</v>
      </c>
      <c r="H657" s="548" t="s">
        <v>1374</v>
      </c>
      <c r="I657" s="548" t="s">
        <v>23</v>
      </c>
      <c r="J657" s="548" t="s">
        <v>216</v>
      </c>
      <c r="K657" s="580">
        <v>25915.25</v>
      </c>
      <c r="L657" s="580">
        <v>47.139099999999999</v>
      </c>
      <c r="M657" s="552">
        <f t="shared" si="50"/>
        <v>549.76123854719333</v>
      </c>
      <c r="N657" s="526">
        <v>60</v>
      </c>
      <c r="O657" s="563">
        <f t="shared" si="51"/>
        <v>431.92083333333335</v>
      </c>
      <c r="P657" s="564">
        <f t="shared" ca="1" si="52"/>
        <v>102</v>
      </c>
      <c r="Q657" s="552">
        <f t="shared" ca="1" si="53"/>
        <v>-18140.675000000003</v>
      </c>
      <c r="R657" s="563">
        <f t="shared" ca="1" si="54"/>
        <v>1</v>
      </c>
      <c r="S657" s="565" t="s">
        <v>1327</v>
      </c>
    </row>
    <row r="658" spans="2:19" ht="48" customHeight="1" x14ac:dyDescent="0.25">
      <c r="B658" s="363">
        <v>42796</v>
      </c>
      <c r="C658" s="558" t="s">
        <v>2349</v>
      </c>
      <c r="D658" s="558"/>
      <c r="E658" s="565" t="s">
        <v>1359</v>
      </c>
      <c r="F658" s="548" t="s">
        <v>1375</v>
      </c>
      <c r="G658" s="559" t="s">
        <v>1361</v>
      </c>
      <c r="H658" s="548" t="s">
        <v>18</v>
      </c>
      <c r="I658" s="548" t="s">
        <v>512</v>
      </c>
      <c r="J658" s="548" t="s">
        <v>1376</v>
      </c>
      <c r="K658" s="580">
        <v>25915.25</v>
      </c>
      <c r="L658" s="580">
        <v>47.139099999999999</v>
      </c>
      <c r="M658" s="552">
        <f t="shared" si="50"/>
        <v>549.76123854719333</v>
      </c>
      <c r="N658" s="526">
        <v>60</v>
      </c>
      <c r="O658" s="563">
        <f t="shared" si="51"/>
        <v>431.92083333333335</v>
      </c>
      <c r="P658" s="564">
        <f t="shared" ca="1" si="52"/>
        <v>102</v>
      </c>
      <c r="Q658" s="552">
        <f t="shared" ca="1" si="53"/>
        <v>-18140.675000000003</v>
      </c>
      <c r="R658" s="563">
        <f t="shared" ca="1" si="54"/>
        <v>1</v>
      </c>
      <c r="S658" s="565" t="s">
        <v>1327</v>
      </c>
    </row>
    <row r="659" spans="2:19" ht="49.5" customHeight="1" x14ac:dyDescent="0.25">
      <c r="B659" s="363">
        <v>42796</v>
      </c>
      <c r="C659" s="558" t="s">
        <v>2349</v>
      </c>
      <c r="D659" s="558"/>
      <c r="E659" s="565" t="s">
        <v>1359</v>
      </c>
      <c r="F659" s="548" t="s">
        <v>1377</v>
      </c>
      <c r="G659" s="559" t="s">
        <v>1361</v>
      </c>
      <c r="H659" s="548" t="s">
        <v>18</v>
      </c>
      <c r="I659" s="569" t="s">
        <v>318</v>
      </c>
      <c r="J659" s="513" t="s">
        <v>4383</v>
      </c>
      <c r="K659" s="580">
        <v>25915.25</v>
      </c>
      <c r="L659" s="580">
        <v>47.139099999999999</v>
      </c>
      <c r="M659" s="552">
        <f t="shared" si="50"/>
        <v>549.76123854719333</v>
      </c>
      <c r="N659" s="526">
        <v>60</v>
      </c>
      <c r="O659" s="563">
        <f t="shared" si="51"/>
        <v>431.92083333333335</v>
      </c>
      <c r="P659" s="564">
        <f t="shared" ca="1" si="52"/>
        <v>102</v>
      </c>
      <c r="Q659" s="552">
        <f t="shared" ca="1" si="53"/>
        <v>-18140.675000000003</v>
      </c>
      <c r="R659" s="563">
        <f t="shared" ca="1" si="54"/>
        <v>1</v>
      </c>
      <c r="S659" s="565" t="s">
        <v>1327</v>
      </c>
    </row>
    <row r="660" spans="2:19" ht="53.25" customHeight="1" x14ac:dyDescent="0.25">
      <c r="B660" s="363">
        <v>42796</v>
      </c>
      <c r="C660" s="558" t="s">
        <v>2349</v>
      </c>
      <c r="D660" s="558"/>
      <c r="E660" s="744" t="s">
        <v>1359</v>
      </c>
      <c r="F660" s="680" t="s">
        <v>1378</v>
      </c>
      <c r="G660" s="745" t="s">
        <v>1361</v>
      </c>
      <c r="H660" s="680" t="s">
        <v>18</v>
      </c>
      <c r="I660" s="680" t="s">
        <v>1379</v>
      </c>
      <c r="J660" s="680" t="s">
        <v>1380</v>
      </c>
      <c r="K660" s="580">
        <v>25915.25</v>
      </c>
      <c r="L660" s="580">
        <v>47.139099999999999</v>
      </c>
      <c r="M660" s="552">
        <f t="shared" si="50"/>
        <v>549.76123854719333</v>
      </c>
      <c r="N660" s="526">
        <v>60</v>
      </c>
      <c r="O660" s="563">
        <f t="shared" si="51"/>
        <v>431.92083333333335</v>
      </c>
      <c r="P660" s="564">
        <f t="shared" ca="1" si="52"/>
        <v>102</v>
      </c>
      <c r="Q660" s="552">
        <f t="shared" ca="1" si="53"/>
        <v>-18140.675000000003</v>
      </c>
      <c r="R660" s="563">
        <f t="shared" ca="1" si="54"/>
        <v>1</v>
      </c>
      <c r="S660" s="565" t="s">
        <v>1327</v>
      </c>
    </row>
    <row r="661" spans="2:19" ht="56.25" customHeight="1" x14ac:dyDescent="0.25">
      <c r="B661" s="363">
        <v>42998</v>
      </c>
      <c r="C661" s="558" t="s">
        <v>2349</v>
      </c>
      <c r="D661" s="558"/>
      <c r="E661" s="565" t="s">
        <v>1381</v>
      </c>
      <c r="F661" s="548" t="s">
        <v>1382</v>
      </c>
      <c r="G661" s="559" t="s">
        <v>1383</v>
      </c>
      <c r="H661" s="548" t="s">
        <v>1384</v>
      </c>
      <c r="I661" s="548" t="s">
        <v>4398</v>
      </c>
      <c r="J661" s="548" t="s">
        <v>19</v>
      </c>
      <c r="K661" s="580">
        <v>113697.72</v>
      </c>
      <c r="L661" s="580">
        <v>47.651600000000002</v>
      </c>
      <c r="M661" s="552">
        <f t="shared" si="50"/>
        <v>2386.0210360197766</v>
      </c>
      <c r="N661" s="526">
        <v>60</v>
      </c>
      <c r="O661" s="563">
        <f t="shared" si="51"/>
        <v>1894.962</v>
      </c>
      <c r="P661" s="564">
        <f t="shared" ca="1" si="52"/>
        <v>95</v>
      </c>
      <c r="Q661" s="552">
        <f t="shared" ca="1" si="53"/>
        <v>-66323.669999999984</v>
      </c>
      <c r="R661" s="563">
        <f t="shared" ca="1" si="54"/>
        <v>1</v>
      </c>
      <c r="S661" s="565" t="s">
        <v>1327</v>
      </c>
    </row>
    <row r="662" spans="2:19" ht="39.950000000000003" customHeight="1" x14ac:dyDescent="0.25">
      <c r="B662" s="363">
        <v>42998</v>
      </c>
      <c r="C662" s="558" t="s">
        <v>2349</v>
      </c>
      <c r="D662" s="558"/>
      <c r="E662" s="565" t="s">
        <v>1381</v>
      </c>
      <c r="F662" s="548" t="s">
        <v>1385</v>
      </c>
      <c r="G662" s="559" t="s">
        <v>1386</v>
      </c>
      <c r="H662" s="548" t="s">
        <v>1387</v>
      </c>
      <c r="I662" s="548" t="s">
        <v>1388</v>
      </c>
      <c r="J662" s="548" t="s">
        <v>19</v>
      </c>
      <c r="K662" s="580">
        <v>54597.42</v>
      </c>
      <c r="L662" s="580">
        <v>47.651600000000002</v>
      </c>
      <c r="M662" s="552">
        <f t="shared" si="50"/>
        <v>1145.7625767025661</v>
      </c>
      <c r="N662" s="526">
        <v>60</v>
      </c>
      <c r="O662" s="563">
        <f t="shared" si="51"/>
        <v>909.95699999999999</v>
      </c>
      <c r="P662" s="564">
        <f t="shared" ca="1" si="52"/>
        <v>95</v>
      </c>
      <c r="Q662" s="552">
        <f t="shared" ca="1" si="53"/>
        <v>-31848.494999999995</v>
      </c>
      <c r="R662" s="563">
        <f t="shared" ca="1" si="54"/>
        <v>1</v>
      </c>
      <c r="S662" s="565" t="s">
        <v>1327</v>
      </c>
    </row>
    <row r="663" spans="2:19" ht="39.950000000000003" customHeight="1" x14ac:dyDescent="0.25">
      <c r="B663" s="363">
        <v>42998</v>
      </c>
      <c r="C663" s="558" t="s">
        <v>2349</v>
      </c>
      <c r="D663" s="558"/>
      <c r="E663" s="565" t="s">
        <v>1381</v>
      </c>
      <c r="F663" s="548" t="s">
        <v>1389</v>
      </c>
      <c r="G663" s="559" t="s">
        <v>1386</v>
      </c>
      <c r="H663" s="548" t="s">
        <v>1390</v>
      </c>
      <c r="I663" s="548" t="s">
        <v>1391</v>
      </c>
      <c r="J663" s="548" t="s">
        <v>19</v>
      </c>
      <c r="K663" s="580">
        <v>54597.42</v>
      </c>
      <c r="L663" s="580">
        <v>47.651600000000002</v>
      </c>
      <c r="M663" s="552">
        <f t="shared" si="50"/>
        <v>1145.7625767025661</v>
      </c>
      <c r="N663" s="526">
        <v>60</v>
      </c>
      <c r="O663" s="563">
        <f t="shared" si="51"/>
        <v>909.95699999999999</v>
      </c>
      <c r="P663" s="564">
        <f t="shared" ca="1" si="52"/>
        <v>95</v>
      </c>
      <c r="Q663" s="552">
        <f t="shared" ca="1" si="53"/>
        <v>-31848.494999999995</v>
      </c>
      <c r="R663" s="563">
        <f t="shared" ca="1" si="54"/>
        <v>1</v>
      </c>
      <c r="S663" s="565" t="s">
        <v>1327</v>
      </c>
    </row>
    <row r="664" spans="2:19" ht="39.950000000000003" customHeight="1" x14ac:dyDescent="0.25">
      <c r="B664" s="363">
        <v>42998</v>
      </c>
      <c r="C664" s="558" t="s">
        <v>2349</v>
      </c>
      <c r="D664" s="558"/>
      <c r="E664" s="565" t="s">
        <v>1381</v>
      </c>
      <c r="F664" s="548" t="s">
        <v>1392</v>
      </c>
      <c r="G664" s="559" t="s">
        <v>1386</v>
      </c>
      <c r="H664" s="548" t="s">
        <v>1393</v>
      </c>
      <c r="I664" s="548" t="s">
        <v>1394</v>
      </c>
      <c r="J664" s="548" t="s">
        <v>19</v>
      </c>
      <c r="K664" s="580">
        <v>54597.42</v>
      </c>
      <c r="L664" s="580">
        <v>47.651600000000002</v>
      </c>
      <c r="M664" s="552">
        <f t="shared" si="50"/>
        <v>1145.7625767025661</v>
      </c>
      <c r="N664" s="526">
        <v>60</v>
      </c>
      <c r="O664" s="563">
        <f t="shared" si="51"/>
        <v>909.95699999999999</v>
      </c>
      <c r="P664" s="564">
        <f t="shared" ca="1" si="52"/>
        <v>95</v>
      </c>
      <c r="Q664" s="552">
        <f t="shared" ca="1" si="53"/>
        <v>-31848.494999999995</v>
      </c>
      <c r="R664" s="563">
        <f t="shared" ca="1" si="54"/>
        <v>1</v>
      </c>
      <c r="S664" s="565" t="s">
        <v>1327</v>
      </c>
    </row>
    <row r="665" spans="2:19" ht="39.950000000000003" customHeight="1" x14ac:dyDescent="0.25">
      <c r="B665" s="363">
        <v>43020</v>
      </c>
      <c r="C665" s="558" t="s">
        <v>2349</v>
      </c>
      <c r="D665" s="558"/>
      <c r="E665" s="565" t="s">
        <v>1395</v>
      </c>
      <c r="F665" s="548" t="s">
        <v>1396</v>
      </c>
      <c r="G665" s="559" t="s">
        <v>1386</v>
      </c>
      <c r="H665" s="548" t="s">
        <v>1397</v>
      </c>
      <c r="I665" s="548" t="s">
        <v>1398</v>
      </c>
      <c r="J665" s="548" t="s">
        <v>19</v>
      </c>
      <c r="K665" s="580">
        <v>54597.42</v>
      </c>
      <c r="L665" s="580">
        <v>47.651600000000002</v>
      </c>
      <c r="M665" s="552">
        <f t="shared" si="50"/>
        <v>1145.7625767025661</v>
      </c>
      <c r="N665" s="526">
        <v>60</v>
      </c>
      <c r="O665" s="563">
        <f t="shared" si="51"/>
        <v>909.95699999999999</v>
      </c>
      <c r="P665" s="564">
        <f t="shared" ca="1" si="52"/>
        <v>94</v>
      </c>
      <c r="Q665" s="552">
        <f t="shared" ca="1" si="53"/>
        <v>-30938.538</v>
      </c>
      <c r="R665" s="563">
        <f t="shared" ca="1" si="54"/>
        <v>1</v>
      </c>
      <c r="S665" s="565" t="s">
        <v>1399</v>
      </c>
    </row>
    <row r="666" spans="2:19" ht="39.950000000000003" customHeight="1" x14ac:dyDescent="0.25">
      <c r="B666" s="363">
        <v>43020</v>
      </c>
      <c r="C666" s="558" t="s">
        <v>2349</v>
      </c>
      <c r="D666" s="558"/>
      <c r="E666" s="565" t="s">
        <v>1395</v>
      </c>
      <c r="F666" s="548" t="s">
        <v>1400</v>
      </c>
      <c r="G666" s="559" t="s">
        <v>1386</v>
      </c>
      <c r="H666" s="548" t="s">
        <v>1401</v>
      </c>
      <c r="I666" s="548" t="s">
        <v>1402</v>
      </c>
      <c r="J666" s="548" t="s">
        <v>19</v>
      </c>
      <c r="K666" s="580">
        <v>54597.42</v>
      </c>
      <c r="L666" s="580">
        <v>47.651600000000002</v>
      </c>
      <c r="M666" s="552">
        <f t="shared" si="50"/>
        <v>1145.7625767025661</v>
      </c>
      <c r="N666" s="526">
        <v>60</v>
      </c>
      <c r="O666" s="563">
        <f t="shared" si="51"/>
        <v>909.95699999999999</v>
      </c>
      <c r="P666" s="564">
        <f t="shared" ca="1" si="52"/>
        <v>94</v>
      </c>
      <c r="Q666" s="552">
        <f t="shared" ca="1" si="53"/>
        <v>-30938.538</v>
      </c>
      <c r="R666" s="563">
        <f t="shared" ca="1" si="54"/>
        <v>1</v>
      </c>
      <c r="S666" s="565" t="s">
        <v>1399</v>
      </c>
    </row>
    <row r="667" spans="2:19" ht="39.950000000000003" customHeight="1" x14ac:dyDescent="0.25">
      <c r="B667" s="363">
        <v>43020</v>
      </c>
      <c r="C667" s="558" t="s">
        <v>2349</v>
      </c>
      <c r="D667" s="558"/>
      <c r="E667" s="565" t="s">
        <v>1395</v>
      </c>
      <c r="F667" s="548" t="s">
        <v>1403</v>
      </c>
      <c r="G667" s="559" t="s">
        <v>1386</v>
      </c>
      <c r="H667" s="548" t="s">
        <v>1404</v>
      </c>
      <c r="I667" s="548" t="s">
        <v>1405</v>
      </c>
      <c r="J667" s="548" t="s">
        <v>19</v>
      </c>
      <c r="K667" s="580">
        <v>54597.42</v>
      </c>
      <c r="L667" s="580">
        <v>47.651600000000002</v>
      </c>
      <c r="M667" s="552">
        <f t="shared" si="50"/>
        <v>1145.7625767025661</v>
      </c>
      <c r="N667" s="526">
        <v>60</v>
      </c>
      <c r="O667" s="563">
        <f t="shared" si="51"/>
        <v>909.95699999999999</v>
      </c>
      <c r="P667" s="564">
        <f t="shared" ca="1" si="52"/>
        <v>94</v>
      </c>
      <c r="Q667" s="552">
        <f t="shared" ca="1" si="53"/>
        <v>-30938.538</v>
      </c>
      <c r="R667" s="563">
        <f t="shared" ca="1" si="54"/>
        <v>1</v>
      </c>
      <c r="S667" s="565" t="s">
        <v>1399</v>
      </c>
    </row>
    <row r="668" spans="2:19" ht="39.950000000000003" customHeight="1" x14ac:dyDescent="0.25">
      <c r="B668" s="363">
        <v>43020</v>
      </c>
      <c r="C668" s="558" t="s">
        <v>2349</v>
      </c>
      <c r="D668" s="558"/>
      <c r="E668" s="565" t="s">
        <v>1395</v>
      </c>
      <c r="F668" s="548" t="s">
        <v>1406</v>
      </c>
      <c r="G668" s="559" t="s">
        <v>1386</v>
      </c>
      <c r="H668" s="548" t="s">
        <v>1407</v>
      </c>
      <c r="I668" s="548" t="s">
        <v>1408</v>
      </c>
      <c r="J668" s="548" t="s">
        <v>19</v>
      </c>
      <c r="K668" s="580">
        <v>54597.42</v>
      </c>
      <c r="L668" s="580">
        <v>47.651600000000002</v>
      </c>
      <c r="M668" s="552">
        <f t="shared" si="50"/>
        <v>1145.7625767025661</v>
      </c>
      <c r="N668" s="526">
        <v>60</v>
      </c>
      <c r="O668" s="563">
        <f t="shared" si="51"/>
        <v>909.95699999999999</v>
      </c>
      <c r="P668" s="564">
        <f t="shared" ca="1" si="52"/>
        <v>94</v>
      </c>
      <c r="Q668" s="552">
        <f t="shared" ca="1" si="53"/>
        <v>-30938.538</v>
      </c>
      <c r="R668" s="563">
        <f t="shared" ca="1" si="54"/>
        <v>1</v>
      </c>
      <c r="S668" s="565" t="s">
        <v>1399</v>
      </c>
    </row>
    <row r="669" spans="2:19" ht="68.25" customHeight="1" x14ac:dyDescent="0.25">
      <c r="B669" s="363">
        <v>43020</v>
      </c>
      <c r="C669" s="558" t="s">
        <v>2349</v>
      </c>
      <c r="D669" s="558"/>
      <c r="E669" s="565" t="s">
        <v>1395</v>
      </c>
      <c r="F669" s="548" t="s">
        <v>1409</v>
      </c>
      <c r="G669" s="559" t="s">
        <v>1386</v>
      </c>
      <c r="H669" s="548" t="s">
        <v>1410</v>
      </c>
      <c r="I669" s="548" t="s">
        <v>1411</v>
      </c>
      <c r="J669" s="548" t="s">
        <v>19</v>
      </c>
      <c r="K669" s="580">
        <v>54597.42</v>
      </c>
      <c r="L669" s="580">
        <v>47.651600000000002</v>
      </c>
      <c r="M669" s="552">
        <f t="shared" si="50"/>
        <v>1145.7625767025661</v>
      </c>
      <c r="N669" s="526">
        <v>60</v>
      </c>
      <c r="O669" s="563">
        <f t="shared" si="51"/>
        <v>909.95699999999999</v>
      </c>
      <c r="P669" s="564">
        <f t="shared" ca="1" si="52"/>
        <v>94</v>
      </c>
      <c r="Q669" s="552">
        <f t="shared" ca="1" si="53"/>
        <v>-30938.538</v>
      </c>
      <c r="R669" s="563">
        <f t="shared" ca="1" si="54"/>
        <v>1</v>
      </c>
      <c r="S669" s="565" t="s">
        <v>1399</v>
      </c>
    </row>
    <row r="670" spans="2:19" ht="63" customHeight="1" x14ac:dyDescent="0.25">
      <c r="B670" s="860">
        <v>43446</v>
      </c>
      <c r="C670" s="558" t="s">
        <v>2349</v>
      </c>
      <c r="D670" s="558"/>
      <c r="E670" s="573" t="s">
        <v>1412</v>
      </c>
      <c r="F670" s="575" t="s">
        <v>1584</v>
      </c>
      <c r="G670" s="549" t="s">
        <v>4448</v>
      </c>
      <c r="H670" s="575" t="s">
        <v>28</v>
      </c>
      <c r="I670" s="575" t="s">
        <v>23</v>
      </c>
      <c r="J670" s="575" t="s">
        <v>1512</v>
      </c>
      <c r="K670" s="580">
        <v>64900</v>
      </c>
      <c r="L670" s="580">
        <v>50.130299999999998</v>
      </c>
      <c r="M670" s="552">
        <f t="shared" si="50"/>
        <v>1294.626204112084</v>
      </c>
      <c r="N670" s="526">
        <v>60</v>
      </c>
      <c r="O670" s="563">
        <f t="shared" si="51"/>
        <v>1081.6666666666667</v>
      </c>
      <c r="P670" s="564">
        <f t="shared" ca="1" si="52"/>
        <v>80</v>
      </c>
      <c r="Q670" s="552">
        <f t="shared" ca="1" si="53"/>
        <v>-21633.333333333343</v>
      </c>
      <c r="R670" s="563">
        <f t="shared" ca="1" si="54"/>
        <v>1</v>
      </c>
      <c r="S670" s="573" t="s">
        <v>1327</v>
      </c>
    </row>
    <row r="671" spans="2:19" ht="67.5" customHeight="1" x14ac:dyDescent="0.25">
      <c r="B671" s="860">
        <v>43446</v>
      </c>
      <c r="C671" s="558" t="s">
        <v>2349</v>
      </c>
      <c r="D671" s="558"/>
      <c r="E671" s="573" t="s">
        <v>1412</v>
      </c>
      <c r="F671" s="575" t="s">
        <v>1440</v>
      </c>
      <c r="G671" s="549" t="s">
        <v>4437</v>
      </c>
      <c r="H671" s="575" t="s">
        <v>28</v>
      </c>
      <c r="I671" s="575" t="s">
        <v>318</v>
      </c>
      <c r="J671" s="575" t="s">
        <v>1415</v>
      </c>
      <c r="K671" s="580">
        <v>45430</v>
      </c>
      <c r="L671" s="580">
        <v>50.130299999999998</v>
      </c>
      <c r="M671" s="552">
        <f t="shared" si="50"/>
        <v>906.23834287845875</v>
      </c>
      <c r="N671" s="526">
        <v>60</v>
      </c>
      <c r="O671" s="563">
        <f t="shared" si="51"/>
        <v>757.16666666666663</v>
      </c>
      <c r="P671" s="564">
        <f t="shared" ca="1" si="52"/>
        <v>80</v>
      </c>
      <c r="Q671" s="552">
        <f t="shared" ca="1" si="53"/>
        <v>-15143.333333333328</v>
      </c>
      <c r="R671" s="563">
        <f t="shared" ca="1" si="54"/>
        <v>1</v>
      </c>
      <c r="S671" s="573" t="s">
        <v>1427</v>
      </c>
    </row>
    <row r="672" spans="2:19" ht="60" customHeight="1" x14ac:dyDescent="0.25">
      <c r="B672" s="860">
        <v>43446</v>
      </c>
      <c r="C672" s="558" t="s">
        <v>2349</v>
      </c>
      <c r="D672" s="558"/>
      <c r="E672" s="575" t="s">
        <v>1412</v>
      </c>
      <c r="F672" s="575" t="s">
        <v>1446</v>
      </c>
      <c r="G672" s="549" t="s">
        <v>1447</v>
      </c>
      <c r="H672" s="575" t="s">
        <v>28</v>
      </c>
      <c r="I672" s="575" t="s">
        <v>1443</v>
      </c>
      <c r="J672" s="575" t="s">
        <v>1444</v>
      </c>
      <c r="K672" s="580">
        <v>723</v>
      </c>
      <c r="L672" s="580">
        <v>50.130299999999998</v>
      </c>
      <c r="M672" s="581">
        <v>14.422415186025219</v>
      </c>
      <c r="N672" s="526">
        <v>60</v>
      </c>
      <c r="O672" s="563">
        <f t="shared" si="51"/>
        <v>12.05</v>
      </c>
      <c r="P672" s="564">
        <f t="shared" ca="1" si="52"/>
        <v>80</v>
      </c>
      <c r="Q672" s="552">
        <f t="shared" ca="1" si="53"/>
        <v>-241</v>
      </c>
      <c r="R672" s="563">
        <f t="shared" ca="1" si="54"/>
        <v>1</v>
      </c>
      <c r="S672" s="573" t="s">
        <v>1427</v>
      </c>
    </row>
    <row r="673" spans="2:19" ht="60" customHeight="1" x14ac:dyDescent="0.25">
      <c r="B673" s="860">
        <v>43446</v>
      </c>
      <c r="C673" s="558" t="s">
        <v>2349</v>
      </c>
      <c r="D673" s="558"/>
      <c r="E673" s="575" t="s">
        <v>1412</v>
      </c>
      <c r="F673" s="575" t="s">
        <v>1448</v>
      </c>
      <c r="G673" s="549" t="s">
        <v>1447</v>
      </c>
      <c r="H673" s="575" t="s">
        <v>28</v>
      </c>
      <c r="I673" s="575" t="s">
        <v>1443</v>
      </c>
      <c r="J673" s="575" t="s">
        <v>1444</v>
      </c>
      <c r="K673" s="580">
        <v>723</v>
      </c>
      <c r="L673" s="580">
        <v>50.130299999999998</v>
      </c>
      <c r="M673" s="581">
        <v>14.422415186025219</v>
      </c>
      <c r="N673" s="526">
        <v>60</v>
      </c>
      <c r="O673" s="563">
        <f t="shared" si="51"/>
        <v>12.05</v>
      </c>
      <c r="P673" s="564">
        <f t="shared" ca="1" si="52"/>
        <v>80</v>
      </c>
      <c r="Q673" s="552">
        <f t="shared" ca="1" si="53"/>
        <v>-241</v>
      </c>
      <c r="R673" s="563">
        <f t="shared" ca="1" si="54"/>
        <v>1</v>
      </c>
      <c r="S673" s="573" t="s">
        <v>1427</v>
      </c>
    </row>
    <row r="674" spans="2:19" ht="60" customHeight="1" x14ac:dyDescent="0.25">
      <c r="B674" s="860">
        <v>43446</v>
      </c>
      <c r="C674" s="558" t="s">
        <v>2349</v>
      </c>
      <c r="D674" s="558"/>
      <c r="E674" s="573" t="s">
        <v>1412</v>
      </c>
      <c r="F674" s="575" t="s">
        <v>1522</v>
      </c>
      <c r="G674" s="549" t="s">
        <v>1447</v>
      </c>
      <c r="H674" s="575" t="s">
        <v>28</v>
      </c>
      <c r="I674" s="575" t="s">
        <v>23</v>
      </c>
      <c r="J674" s="575" t="s">
        <v>1512</v>
      </c>
      <c r="K674" s="580">
        <v>723</v>
      </c>
      <c r="L674" s="580">
        <v>50.130299999999998</v>
      </c>
      <c r="M674" s="552">
        <f>+K674/L674</f>
        <v>14.422415186025219</v>
      </c>
      <c r="N674" s="526">
        <v>60</v>
      </c>
      <c r="O674" s="563">
        <f t="shared" si="51"/>
        <v>12.05</v>
      </c>
      <c r="P674" s="564">
        <f t="shared" ca="1" si="52"/>
        <v>80</v>
      </c>
      <c r="Q674" s="552">
        <f t="shared" ca="1" si="53"/>
        <v>-241</v>
      </c>
      <c r="R674" s="563">
        <f t="shared" ca="1" si="54"/>
        <v>1</v>
      </c>
      <c r="S674" s="573" t="s">
        <v>1427</v>
      </c>
    </row>
    <row r="675" spans="2:19" ht="60" customHeight="1" x14ac:dyDescent="0.25">
      <c r="B675" s="860">
        <v>43446</v>
      </c>
      <c r="C675" s="558" t="s">
        <v>2349</v>
      </c>
      <c r="D675" s="558"/>
      <c r="E675" s="573" t="s">
        <v>1412</v>
      </c>
      <c r="F675" s="575" t="s">
        <v>1523</v>
      </c>
      <c r="G675" s="549" t="s">
        <v>1447</v>
      </c>
      <c r="H675" s="575" t="s">
        <v>28</v>
      </c>
      <c r="I675" s="575" t="s">
        <v>23</v>
      </c>
      <c r="J675" s="575" t="s">
        <v>1512</v>
      </c>
      <c r="K675" s="580">
        <v>723</v>
      </c>
      <c r="L675" s="580">
        <v>50.130299999999998</v>
      </c>
      <c r="M675" s="552">
        <f>+K675/L675</f>
        <v>14.422415186025219</v>
      </c>
      <c r="N675" s="526">
        <v>60</v>
      </c>
      <c r="O675" s="563">
        <f t="shared" si="51"/>
        <v>12.05</v>
      </c>
      <c r="P675" s="564">
        <f t="shared" ca="1" si="52"/>
        <v>80</v>
      </c>
      <c r="Q675" s="552">
        <f t="shared" ca="1" si="53"/>
        <v>-241</v>
      </c>
      <c r="R675" s="563">
        <f t="shared" ca="1" si="54"/>
        <v>1</v>
      </c>
      <c r="S675" s="573" t="s">
        <v>1427</v>
      </c>
    </row>
    <row r="676" spans="2:19" ht="60" customHeight="1" x14ac:dyDescent="0.25">
      <c r="B676" s="860">
        <v>43446</v>
      </c>
      <c r="C676" s="558" t="s">
        <v>2349</v>
      </c>
      <c r="D676" s="558"/>
      <c r="E676" s="575" t="s">
        <v>1412</v>
      </c>
      <c r="F676" s="575" t="s">
        <v>1457</v>
      </c>
      <c r="G676" s="549" t="s">
        <v>1458</v>
      </c>
      <c r="H676" s="575" t="s">
        <v>28</v>
      </c>
      <c r="I676" s="575" t="s">
        <v>1443</v>
      </c>
      <c r="J676" s="575" t="s">
        <v>1444</v>
      </c>
      <c r="K676" s="580">
        <v>5040</v>
      </c>
      <c r="L676" s="580">
        <v>50.130299999999998</v>
      </c>
      <c r="M676" s="581">
        <v>100.53799797727123</v>
      </c>
      <c r="N676" s="526">
        <v>60</v>
      </c>
      <c r="O676" s="563">
        <f t="shared" si="51"/>
        <v>84</v>
      </c>
      <c r="P676" s="564">
        <f t="shared" ca="1" si="52"/>
        <v>80</v>
      </c>
      <c r="Q676" s="552">
        <f t="shared" ca="1" si="53"/>
        <v>-1680</v>
      </c>
      <c r="R676" s="563">
        <f t="shared" ca="1" si="54"/>
        <v>1</v>
      </c>
      <c r="S676" s="573" t="s">
        <v>1427</v>
      </c>
    </row>
    <row r="677" spans="2:19" ht="60" customHeight="1" x14ac:dyDescent="0.25">
      <c r="B677" s="860">
        <v>43446</v>
      </c>
      <c r="C677" s="558" t="s">
        <v>2349</v>
      </c>
      <c r="D677" s="558"/>
      <c r="E677" s="573" t="s">
        <v>1412</v>
      </c>
      <c r="F677" s="575" t="s">
        <v>1486</v>
      </c>
      <c r="G677" s="549" t="s">
        <v>1458</v>
      </c>
      <c r="H677" s="575" t="s">
        <v>28</v>
      </c>
      <c r="I677" s="575" t="s">
        <v>45</v>
      </c>
      <c r="J677" s="575" t="s">
        <v>837</v>
      </c>
      <c r="K677" s="580">
        <v>5040</v>
      </c>
      <c r="L677" s="580">
        <v>50.130299999999998</v>
      </c>
      <c r="M677" s="552">
        <f t="shared" ref="M677:M697" si="55">+K677/L677</f>
        <v>100.53799797727123</v>
      </c>
      <c r="N677" s="526">
        <v>60</v>
      </c>
      <c r="O677" s="563">
        <f t="shared" si="51"/>
        <v>84</v>
      </c>
      <c r="P677" s="564">
        <f t="shared" ca="1" si="52"/>
        <v>80</v>
      </c>
      <c r="Q677" s="552">
        <f t="shared" ca="1" si="53"/>
        <v>-1680</v>
      </c>
      <c r="R677" s="563">
        <f t="shared" ca="1" si="54"/>
        <v>1</v>
      </c>
      <c r="S677" s="573" t="s">
        <v>1427</v>
      </c>
    </row>
    <row r="678" spans="2:19" ht="60" customHeight="1" x14ac:dyDescent="0.25">
      <c r="B678" s="860">
        <v>43446</v>
      </c>
      <c r="C678" s="558" t="s">
        <v>2349</v>
      </c>
      <c r="D678" s="558"/>
      <c r="E678" s="573" t="s">
        <v>1412</v>
      </c>
      <c r="F678" s="575" t="s">
        <v>1531</v>
      </c>
      <c r="G678" s="549" t="s">
        <v>1458</v>
      </c>
      <c r="H678" s="575" t="s">
        <v>28</v>
      </c>
      <c r="I678" s="575" t="s">
        <v>23</v>
      </c>
      <c r="J678" s="575" t="s">
        <v>1512</v>
      </c>
      <c r="K678" s="580">
        <v>5040</v>
      </c>
      <c r="L678" s="580">
        <v>50.130299999999998</v>
      </c>
      <c r="M678" s="552">
        <f t="shared" si="55"/>
        <v>100.53799797727123</v>
      </c>
      <c r="N678" s="526">
        <v>60</v>
      </c>
      <c r="O678" s="563">
        <f t="shared" si="51"/>
        <v>84</v>
      </c>
      <c r="P678" s="564">
        <f t="shared" ca="1" si="52"/>
        <v>80</v>
      </c>
      <c r="Q678" s="552">
        <f t="shared" ca="1" si="53"/>
        <v>-1680</v>
      </c>
      <c r="R678" s="563">
        <f t="shared" ca="1" si="54"/>
        <v>1</v>
      </c>
      <c r="S678" s="573" t="s">
        <v>1327</v>
      </c>
    </row>
    <row r="679" spans="2:19" ht="60" customHeight="1" x14ac:dyDescent="0.25">
      <c r="B679" s="860">
        <v>43446</v>
      </c>
      <c r="C679" s="558" t="s">
        <v>2349</v>
      </c>
      <c r="D679" s="558"/>
      <c r="E679" s="573" t="s">
        <v>1412</v>
      </c>
      <c r="F679" s="575" t="s">
        <v>1532</v>
      </c>
      <c r="G679" s="549" t="s">
        <v>1458</v>
      </c>
      <c r="H679" s="575" t="s">
        <v>28</v>
      </c>
      <c r="I679" s="575" t="s">
        <v>23</v>
      </c>
      <c r="J679" s="575" t="s">
        <v>1512</v>
      </c>
      <c r="K679" s="580">
        <v>5040</v>
      </c>
      <c r="L679" s="580">
        <v>50.130299999999998</v>
      </c>
      <c r="M679" s="552">
        <f t="shared" si="55"/>
        <v>100.53799797727123</v>
      </c>
      <c r="N679" s="526">
        <v>60</v>
      </c>
      <c r="O679" s="563">
        <f t="shared" si="51"/>
        <v>84</v>
      </c>
      <c r="P679" s="564">
        <f t="shared" ca="1" si="52"/>
        <v>80</v>
      </c>
      <c r="Q679" s="552">
        <f t="shared" ca="1" si="53"/>
        <v>-1680</v>
      </c>
      <c r="R679" s="563">
        <f t="shared" ca="1" si="54"/>
        <v>1</v>
      </c>
      <c r="S679" s="573" t="s">
        <v>1327</v>
      </c>
    </row>
    <row r="680" spans="2:19" ht="60" customHeight="1" x14ac:dyDescent="0.25">
      <c r="B680" s="860">
        <v>43446</v>
      </c>
      <c r="C680" s="558" t="s">
        <v>2349</v>
      </c>
      <c r="D680" s="558"/>
      <c r="E680" s="573" t="s">
        <v>1412</v>
      </c>
      <c r="F680" s="575" t="s">
        <v>1573</v>
      </c>
      <c r="G680" s="549" t="s">
        <v>1574</v>
      </c>
      <c r="H680" s="575" t="s">
        <v>28</v>
      </c>
      <c r="I680" s="575" t="s">
        <v>23</v>
      </c>
      <c r="J680" s="575" t="s">
        <v>1512</v>
      </c>
      <c r="K680" s="580">
        <v>60000</v>
      </c>
      <c r="L680" s="580">
        <v>50.130299999999998</v>
      </c>
      <c r="M680" s="552">
        <f t="shared" si="55"/>
        <v>1196.8809283008479</v>
      </c>
      <c r="N680" s="526">
        <v>60</v>
      </c>
      <c r="O680" s="563">
        <f t="shared" si="51"/>
        <v>1000</v>
      </c>
      <c r="P680" s="564">
        <f t="shared" ca="1" si="52"/>
        <v>80</v>
      </c>
      <c r="Q680" s="552">
        <f t="shared" ca="1" si="53"/>
        <v>-20000</v>
      </c>
      <c r="R680" s="563">
        <f t="shared" ca="1" si="54"/>
        <v>1</v>
      </c>
      <c r="S680" s="573" t="s">
        <v>1327</v>
      </c>
    </row>
    <row r="681" spans="2:19" ht="60" customHeight="1" x14ac:dyDescent="0.25">
      <c r="B681" s="860">
        <v>43446</v>
      </c>
      <c r="C681" s="558" t="s">
        <v>2349</v>
      </c>
      <c r="D681" s="558"/>
      <c r="E681" s="573" t="s">
        <v>1412</v>
      </c>
      <c r="F681" s="575" t="s">
        <v>1575</v>
      </c>
      <c r="G681" s="549" t="s">
        <v>1574</v>
      </c>
      <c r="H681" s="575" t="s">
        <v>28</v>
      </c>
      <c r="I681" s="575" t="s">
        <v>23</v>
      </c>
      <c r="J681" s="575" t="s">
        <v>1512</v>
      </c>
      <c r="K681" s="580">
        <v>60000</v>
      </c>
      <c r="L681" s="580">
        <v>50.130299999999998</v>
      </c>
      <c r="M681" s="552">
        <f t="shared" si="55"/>
        <v>1196.8809283008479</v>
      </c>
      <c r="N681" s="526">
        <v>60</v>
      </c>
      <c r="O681" s="563">
        <f t="shared" si="51"/>
        <v>1000</v>
      </c>
      <c r="P681" s="564">
        <f t="shared" ca="1" si="52"/>
        <v>80</v>
      </c>
      <c r="Q681" s="552">
        <f t="shared" ca="1" si="53"/>
        <v>-20000</v>
      </c>
      <c r="R681" s="563">
        <f t="shared" ca="1" si="54"/>
        <v>1</v>
      </c>
      <c r="S681" s="573" t="s">
        <v>1327</v>
      </c>
    </row>
    <row r="682" spans="2:19" ht="60" customHeight="1" x14ac:dyDescent="0.25">
      <c r="B682" s="860">
        <v>43446</v>
      </c>
      <c r="C682" s="558" t="s">
        <v>2349</v>
      </c>
      <c r="D682" s="558"/>
      <c r="E682" s="573" t="s">
        <v>1412</v>
      </c>
      <c r="F682" s="575" t="s">
        <v>1425</v>
      </c>
      <c r="G682" s="549" t="s">
        <v>1426</v>
      </c>
      <c r="H682" s="575" t="s">
        <v>28</v>
      </c>
      <c r="I682" s="575" t="s">
        <v>318</v>
      </c>
      <c r="J682" s="575" t="s">
        <v>1415</v>
      </c>
      <c r="K682" s="580">
        <v>9520</v>
      </c>
      <c r="L682" s="580">
        <v>50.130299999999998</v>
      </c>
      <c r="M682" s="552">
        <f t="shared" si="55"/>
        <v>189.90510729040122</v>
      </c>
      <c r="N682" s="526">
        <v>60</v>
      </c>
      <c r="O682" s="563">
        <f t="shared" si="51"/>
        <v>158.66666666666666</v>
      </c>
      <c r="P682" s="564">
        <f t="shared" ca="1" si="52"/>
        <v>80</v>
      </c>
      <c r="Q682" s="552">
        <f t="shared" ca="1" si="53"/>
        <v>-3173.3333333333321</v>
      </c>
      <c r="R682" s="563">
        <f t="shared" ca="1" si="54"/>
        <v>1</v>
      </c>
      <c r="S682" s="573" t="s">
        <v>1427</v>
      </c>
    </row>
    <row r="683" spans="2:19" ht="60" customHeight="1" x14ac:dyDescent="0.25">
      <c r="B683" s="860">
        <v>43446</v>
      </c>
      <c r="C683" s="558" t="s">
        <v>2349</v>
      </c>
      <c r="D683" s="558"/>
      <c r="E683" s="573" t="s">
        <v>1412</v>
      </c>
      <c r="F683" s="575" t="s">
        <v>1428</v>
      </c>
      <c r="G683" s="549" t="s">
        <v>1426</v>
      </c>
      <c r="H683" s="575" t="s">
        <v>28</v>
      </c>
      <c r="I683" s="575" t="s">
        <v>318</v>
      </c>
      <c r="J683" s="575" t="s">
        <v>1415</v>
      </c>
      <c r="K683" s="580">
        <v>9520</v>
      </c>
      <c r="L683" s="580">
        <v>50.130299999999998</v>
      </c>
      <c r="M683" s="552">
        <f t="shared" si="55"/>
        <v>189.90510729040122</v>
      </c>
      <c r="N683" s="526">
        <v>60</v>
      </c>
      <c r="O683" s="563">
        <f t="shared" si="51"/>
        <v>158.66666666666666</v>
      </c>
      <c r="P683" s="564">
        <f t="shared" ca="1" si="52"/>
        <v>80</v>
      </c>
      <c r="Q683" s="552">
        <f t="shared" ca="1" si="53"/>
        <v>-3173.3333333333321</v>
      </c>
      <c r="R683" s="563">
        <f t="shared" ca="1" si="54"/>
        <v>1</v>
      </c>
      <c r="S683" s="573" t="s">
        <v>1427</v>
      </c>
    </row>
    <row r="684" spans="2:19" ht="60" customHeight="1" x14ac:dyDescent="0.25">
      <c r="B684" s="860">
        <v>43446</v>
      </c>
      <c r="C684" s="558" t="s">
        <v>2349</v>
      </c>
      <c r="D684" s="558"/>
      <c r="E684" s="573" t="s">
        <v>1412</v>
      </c>
      <c r="F684" s="575" t="s">
        <v>1429</v>
      </c>
      <c r="G684" s="549" t="s">
        <v>1426</v>
      </c>
      <c r="H684" s="575" t="s">
        <v>28</v>
      </c>
      <c r="I684" s="575" t="s">
        <v>318</v>
      </c>
      <c r="J684" s="575" t="s">
        <v>1415</v>
      </c>
      <c r="K684" s="580">
        <v>9520</v>
      </c>
      <c r="L684" s="580">
        <v>50.130299999999998</v>
      </c>
      <c r="M684" s="552">
        <f t="shared" si="55"/>
        <v>189.90510729040122</v>
      </c>
      <c r="N684" s="526">
        <v>60</v>
      </c>
      <c r="O684" s="563">
        <f t="shared" si="51"/>
        <v>158.66666666666666</v>
      </c>
      <c r="P684" s="564">
        <f t="shared" ca="1" si="52"/>
        <v>80</v>
      </c>
      <c r="Q684" s="552">
        <f t="shared" ca="1" si="53"/>
        <v>-3173.3333333333321</v>
      </c>
      <c r="R684" s="563">
        <f t="shared" ca="1" si="54"/>
        <v>1</v>
      </c>
      <c r="S684" s="573" t="s">
        <v>1427</v>
      </c>
    </row>
    <row r="685" spans="2:19" ht="60" customHeight="1" x14ac:dyDescent="0.25">
      <c r="B685" s="860">
        <v>43446</v>
      </c>
      <c r="C685" s="558" t="s">
        <v>2349</v>
      </c>
      <c r="D685" s="558"/>
      <c r="E685" s="573" t="s">
        <v>1412</v>
      </c>
      <c r="F685" s="575" t="s">
        <v>1472</v>
      </c>
      <c r="G685" s="549" t="s">
        <v>1426</v>
      </c>
      <c r="H685" s="575" t="s">
        <v>28</v>
      </c>
      <c r="I685" s="575" t="s">
        <v>45</v>
      </c>
      <c r="J685" s="575" t="s">
        <v>837</v>
      </c>
      <c r="K685" s="580">
        <v>9520</v>
      </c>
      <c r="L685" s="580">
        <v>50.130299999999998</v>
      </c>
      <c r="M685" s="552">
        <f t="shared" si="55"/>
        <v>189.90510729040122</v>
      </c>
      <c r="N685" s="526">
        <v>60</v>
      </c>
      <c r="O685" s="563">
        <f t="shared" si="51"/>
        <v>158.66666666666666</v>
      </c>
      <c r="P685" s="564">
        <f t="shared" ca="1" si="52"/>
        <v>80</v>
      </c>
      <c r="Q685" s="552">
        <f t="shared" ca="1" si="53"/>
        <v>-3173.3333333333321</v>
      </c>
      <c r="R685" s="563">
        <f t="shared" ca="1" si="54"/>
        <v>1</v>
      </c>
      <c r="S685" s="573" t="s">
        <v>1427</v>
      </c>
    </row>
    <row r="686" spans="2:19" ht="60" customHeight="1" x14ac:dyDescent="0.25">
      <c r="B686" s="860">
        <v>43446</v>
      </c>
      <c r="C686" s="558" t="s">
        <v>2349</v>
      </c>
      <c r="D686" s="558"/>
      <c r="E686" s="573" t="s">
        <v>1412</v>
      </c>
      <c r="F686" s="575" t="s">
        <v>1473</v>
      </c>
      <c r="G686" s="549" t="s">
        <v>1426</v>
      </c>
      <c r="H686" s="575" t="s">
        <v>28</v>
      </c>
      <c r="I686" s="575" t="s">
        <v>45</v>
      </c>
      <c r="J686" s="575" t="s">
        <v>837</v>
      </c>
      <c r="K686" s="580">
        <v>9520</v>
      </c>
      <c r="L686" s="580">
        <v>50.130299999999998</v>
      </c>
      <c r="M686" s="552">
        <f t="shared" si="55"/>
        <v>189.90510729040122</v>
      </c>
      <c r="N686" s="526">
        <v>60</v>
      </c>
      <c r="O686" s="563">
        <f t="shared" si="51"/>
        <v>158.66666666666666</v>
      </c>
      <c r="P686" s="564">
        <f t="shared" ca="1" si="52"/>
        <v>80</v>
      </c>
      <c r="Q686" s="552">
        <f t="shared" ca="1" si="53"/>
        <v>-3173.3333333333321</v>
      </c>
      <c r="R686" s="563">
        <f t="shared" ca="1" si="54"/>
        <v>1</v>
      </c>
      <c r="S686" s="573" t="s">
        <v>1427</v>
      </c>
    </row>
    <row r="687" spans="2:19" ht="60" customHeight="1" x14ac:dyDescent="0.25">
      <c r="B687" s="860">
        <v>43446</v>
      </c>
      <c r="C687" s="558" t="s">
        <v>2349</v>
      </c>
      <c r="D687" s="558"/>
      <c r="E687" s="573" t="s">
        <v>1412</v>
      </c>
      <c r="F687" s="575" t="s">
        <v>1474</v>
      </c>
      <c r="G687" s="549" t="s">
        <v>1426</v>
      </c>
      <c r="H687" s="575" t="s">
        <v>28</v>
      </c>
      <c r="I687" s="575" t="s">
        <v>45</v>
      </c>
      <c r="J687" s="575" t="s">
        <v>837</v>
      </c>
      <c r="K687" s="580">
        <v>9520</v>
      </c>
      <c r="L687" s="580">
        <v>50.130299999999998</v>
      </c>
      <c r="M687" s="552">
        <f t="shared" si="55"/>
        <v>189.90510729040122</v>
      </c>
      <c r="N687" s="526">
        <v>60</v>
      </c>
      <c r="O687" s="563">
        <f t="shared" si="51"/>
        <v>158.66666666666666</v>
      </c>
      <c r="P687" s="564">
        <f t="shared" ca="1" si="52"/>
        <v>80</v>
      </c>
      <c r="Q687" s="552">
        <f t="shared" ca="1" si="53"/>
        <v>-3173.3333333333321</v>
      </c>
      <c r="R687" s="563">
        <f t="shared" ca="1" si="54"/>
        <v>1</v>
      </c>
      <c r="S687" s="573" t="s">
        <v>1427</v>
      </c>
    </row>
    <row r="688" spans="2:19" ht="60" customHeight="1" x14ac:dyDescent="0.25">
      <c r="B688" s="860">
        <v>43446</v>
      </c>
      <c r="C688" s="558" t="s">
        <v>2349</v>
      </c>
      <c r="D688" s="558"/>
      <c r="E688" s="573" t="s">
        <v>1412</v>
      </c>
      <c r="F688" s="575" t="s">
        <v>1515</v>
      </c>
      <c r="G688" s="549" t="s">
        <v>1426</v>
      </c>
      <c r="H688" s="575" t="s">
        <v>28</v>
      </c>
      <c r="I688" s="575" t="s">
        <v>23</v>
      </c>
      <c r="J688" s="575" t="s">
        <v>1512</v>
      </c>
      <c r="K688" s="580">
        <v>9520</v>
      </c>
      <c r="L688" s="580">
        <v>50.130299999999998</v>
      </c>
      <c r="M688" s="552">
        <f t="shared" si="55"/>
        <v>189.90510729040122</v>
      </c>
      <c r="N688" s="526">
        <v>60</v>
      </c>
      <c r="O688" s="563">
        <f t="shared" si="51"/>
        <v>158.66666666666666</v>
      </c>
      <c r="P688" s="564">
        <f t="shared" ca="1" si="52"/>
        <v>80</v>
      </c>
      <c r="Q688" s="552">
        <f t="shared" ca="1" si="53"/>
        <v>-3173.3333333333321</v>
      </c>
      <c r="R688" s="563">
        <f t="shared" ca="1" si="54"/>
        <v>1</v>
      </c>
      <c r="S688" s="573" t="s">
        <v>1427</v>
      </c>
    </row>
    <row r="689" spans="2:19" ht="60" customHeight="1" x14ac:dyDescent="0.25">
      <c r="B689" s="860">
        <v>43446</v>
      </c>
      <c r="C689" s="558" t="s">
        <v>2349</v>
      </c>
      <c r="D689" s="558"/>
      <c r="E689" s="573" t="s">
        <v>1412</v>
      </c>
      <c r="F689" s="575" t="s">
        <v>1516</v>
      </c>
      <c r="G689" s="549" t="s">
        <v>1426</v>
      </c>
      <c r="H689" s="575" t="s">
        <v>28</v>
      </c>
      <c r="I689" s="575" t="s">
        <v>23</v>
      </c>
      <c r="J689" s="575" t="s">
        <v>1512</v>
      </c>
      <c r="K689" s="580">
        <v>9520</v>
      </c>
      <c r="L689" s="580">
        <v>50.130299999999998</v>
      </c>
      <c r="M689" s="552">
        <f t="shared" si="55"/>
        <v>189.90510729040122</v>
      </c>
      <c r="N689" s="526">
        <v>60</v>
      </c>
      <c r="O689" s="563">
        <f t="shared" si="51"/>
        <v>158.66666666666666</v>
      </c>
      <c r="P689" s="564">
        <f t="shared" ca="1" si="52"/>
        <v>80</v>
      </c>
      <c r="Q689" s="552">
        <f t="shared" ca="1" si="53"/>
        <v>-3173.3333333333321</v>
      </c>
      <c r="R689" s="563">
        <f t="shared" ca="1" si="54"/>
        <v>1</v>
      </c>
      <c r="S689" s="573" t="s">
        <v>1427</v>
      </c>
    </row>
    <row r="690" spans="2:19" ht="60" customHeight="1" x14ac:dyDescent="0.25">
      <c r="B690" s="860">
        <v>43446</v>
      </c>
      <c r="C690" s="558" t="s">
        <v>2349</v>
      </c>
      <c r="D690" s="558"/>
      <c r="E690" s="573" t="s">
        <v>1412</v>
      </c>
      <c r="F690" s="575" t="s">
        <v>1576</v>
      </c>
      <c r="G690" s="549" t="s">
        <v>1426</v>
      </c>
      <c r="H690" s="575" t="s">
        <v>28</v>
      </c>
      <c r="I690" s="575" t="s">
        <v>23</v>
      </c>
      <c r="J690" s="575" t="s">
        <v>1512</v>
      </c>
      <c r="K690" s="580">
        <v>9520</v>
      </c>
      <c r="L690" s="580">
        <v>50.130299999999998</v>
      </c>
      <c r="M690" s="552">
        <f t="shared" si="55"/>
        <v>189.90510729040122</v>
      </c>
      <c r="N690" s="526">
        <v>60</v>
      </c>
      <c r="O690" s="563">
        <f t="shared" si="51"/>
        <v>158.66666666666666</v>
      </c>
      <c r="P690" s="564">
        <f t="shared" ca="1" si="52"/>
        <v>80</v>
      </c>
      <c r="Q690" s="552">
        <f t="shared" ca="1" si="53"/>
        <v>-3173.3333333333321</v>
      </c>
      <c r="R690" s="563">
        <f t="shared" ca="1" si="54"/>
        <v>1</v>
      </c>
      <c r="S690" s="573" t="s">
        <v>1327</v>
      </c>
    </row>
    <row r="691" spans="2:19" ht="60" customHeight="1" x14ac:dyDescent="0.25">
      <c r="B691" s="860">
        <v>43446</v>
      </c>
      <c r="C691" s="558" t="s">
        <v>2349</v>
      </c>
      <c r="D691" s="558"/>
      <c r="E691" s="573" t="s">
        <v>1412</v>
      </c>
      <c r="F691" s="575" t="s">
        <v>1577</v>
      </c>
      <c r="G691" s="549" t="s">
        <v>1426</v>
      </c>
      <c r="H691" s="575" t="s">
        <v>28</v>
      </c>
      <c r="I691" s="575" t="s">
        <v>23</v>
      </c>
      <c r="J691" s="575" t="s">
        <v>1512</v>
      </c>
      <c r="K691" s="580">
        <v>9520</v>
      </c>
      <c r="L691" s="580">
        <v>50.130299999999998</v>
      </c>
      <c r="M691" s="552">
        <f t="shared" si="55"/>
        <v>189.90510729040122</v>
      </c>
      <c r="N691" s="526">
        <v>60</v>
      </c>
      <c r="O691" s="563">
        <f t="shared" si="51"/>
        <v>158.66666666666666</v>
      </c>
      <c r="P691" s="564">
        <f t="shared" ca="1" si="52"/>
        <v>80</v>
      </c>
      <c r="Q691" s="552">
        <f t="shared" ca="1" si="53"/>
        <v>-3173.3333333333321</v>
      </c>
      <c r="R691" s="563">
        <f t="shared" ca="1" si="54"/>
        <v>1</v>
      </c>
      <c r="S691" s="573" t="s">
        <v>1327</v>
      </c>
    </row>
    <row r="692" spans="2:19" ht="60" customHeight="1" x14ac:dyDescent="0.25">
      <c r="B692" s="860">
        <v>43446</v>
      </c>
      <c r="C692" s="558" t="s">
        <v>2349</v>
      </c>
      <c r="D692" s="558"/>
      <c r="E692" s="573" t="s">
        <v>1412</v>
      </c>
      <c r="F692" s="575" t="s">
        <v>1578</v>
      </c>
      <c r="G692" s="549" t="s">
        <v>1426</v>
      </c>
      <c r="H692" s="575" t="s">
        <v>28</v>
      </c>
      <c r="I692" s="575" t="s">
        <v>23</v>
      </c>
      <c r="J692" s="575" t="s">
        <v>1512</v>
      </c>
      <c r="K692" s="580">
        <v>9520</v>
      </c>
      <c r="L692" s="580">
        <v>50.130299999999998</v>
      </c>
      <c r="M692" s="552">
        <f t="shared" si="55"/>
        <v>189.90510729040122</v>
      </c>
      <c r="N692" s="526">
        <v>60</v>
      </c>
      <c r="O692" s="563">
        <f t="shared" si="51"/>
        <v>158.66666666666666</v>
      </c>
      <c r="P692" s="564">
        <f t="shared" ca="1" si="52"/>
        <v>80</v>
      </c>
      <c r="Q692" s="552">
        <f t="shared" ca="1" si="53"/>
        <v>-3173.3333333333321</v>
      </c>
      <c r="R692" s="563">
        <f t="shared" ca="1" si="54"/>
        <v>1</v>
      </c>
      <c r="S692" s="573" t="s">
        <v>1327</v>
      </c>
    </row>
    <row r="693" spans="2:19" ht="60" customHeight="1" x14ac:dyDescent="0.25">
      <c r="B693" s="860">
        <v>43446</v>
      </c>
      <c r="C693" s="558" t="s">
        <v>2349</v>
      </c>
      <c r="D693" s="558"/>
      <c r="E693" s="573" t="s">
        <v>1412</v>
      </c>
      <c r="F693" s="575" t="s">
        <v>1579</v>
      </c>
      <c r="G693" s="549" t="s">
        <v>1426</v>
      </c>
      <c r="H693" s="575" t="s">
        <v>28</v>
      </c>
      <c r="I693" s="575" t="s">
        <v>23</v>
      </c>
      <c r="J693" s="575" t="s">
        <v>1512</v>
      </c>
      <c r="K693" s="580">
        <v>9520</v>
      </c>
      <c r="L693" s="580">
        <v>50.130299999999998</v>
      </c>
      <c r="M693" s="552">
        <f t="shared" si="55"/>
        <v>189.90510729040122</v>
      </c>
      <c r="N693" s="526">
        <v>60</v>
      </c>
      <c r="O693" s="563">
        <f t="shared" si="51"/>
        <v>158.66666666666666</v>
      </c>
      <c r="P693" s="564">
        <f t="shared" ca="1" si="52"/>
        <v>80</v>
      </c>
      <c r="Q693" s="552">
        <f t="shared" ca="1" si="53"/>
        <v>-3173.3333333333321</v>
      </c>
      <c r="R693" s="563">
        <f t="shared" ca="1" si="54"/>
        <v>1</v>
      </c>
      <c r="S693" s="573" t="s">
        <v>1327</v>
      </c>
    </row>
    <row r="694" spans="2:19" ht="60" customHeight="1" x14ac:dyDescent="0.25">
      <c r="B694" s="860">
        <v>43446</v>
      </c>
      <c r="C694" s="558" t="s">
        <v>2349</v>
      </c>
      <c r="D694" s="558"/>
      <c r="E694" s="573" t="s">
        <v>1412</v>
      </c>
      <c r="F694" s="575" t="s">
        <v>1501</v>
      </c>
      <c r="G694" s="549" t="s">
        <v>1502</v>
      </c>
      <c r="H694" s="575" t="s">
        <v>1503</v>
      </c>
      <c r="I694" s="575" t="s">
        <v>45</v>
      </c>
      <c r="J694" s="575" t="s">
        <v>837</v>
      </c>
      <c r="K694" s="580">
        <v>7546.61</v>
      </c>
      <c r="L694" s="580">
        <v>50.130299999999998</v>
      </c>
      <c r="M694" s="552">
        <f t="shared" si="55"/>
        <v>150.53989303874104</v>
      </c>
      <c r="N694" s="526">
        <v>60</v>
      </c>
      <c r="O694" s="563">
        <f t="shared" si="51"/>
        <v>125.77683333333333</v>
      </c>
      <c r="P694" s="564">
        <f t="shared" ca="1" si="52"/>
        <v>80</v>
      </c>
      <c r="Q694" s="552">
        <f t="shared" ca="1" si="53"/>
        <v>-2515.536666666666</v>
      </c>
      <c r="R694" s="563">
        <f t="shared" ca="1" si="54"/>
        <v>1</v>
      </c>
      <c r="S694" s="573" t="s">
        <v>1427</v>
      </c>
    </row>
    <row r="695" spans="2:19" ht="60" customHeight="1" x14ac:dyDescent="0.25">
      <c r="B695" s="860">
        <v>43446</v>
      </c>
      <c r="C695" s="558" t="s">
        <v>2349</v>
      </c>
      <c r="D695" s="558"/>
      <c r="E695" s="573" t="s">
        <v>1412</v>
      </c>
      <c r="F695" s="575" t="s">
        <v>1545</v>
      </c>
      <c r="G695" s="549" t="s">
        <v>1502</v>
      </c>
      <c r="H695" s="575" t="s">
        <v>1546</v>
      </c>
      <c r="I695" s="575" t="s">
        <v>23</v>
      </c>
      <c r="J695" s="575" t="s">
        <v>1547</v>
      </c>
      <c r="K695" s="580">
        <v>7546.61</v>
      </c>
      <c r="L695" s="580">
        <v>50.130299999999998</v>
      </c>
      <c r="M695" s="552">
        <f t="shared" si="55"/>
        <v>150.53989303874104</v>
      </c>
      <c r="N695" s="526">
        <v>60</v>
      </c>
      <c r="O695" s="563">
        <f t="shared" si="51"/>
        <v>125.77683333333333</v>
      </c>
      <c r="P695" s="564">
        <f t="shared" ca="1" si="52"/>
        <v>80</v>
      </c>
      <c r="Q695" s="552">
        <f t="shared" ca="1" si="53"/>
        <v>-2515.536666666666</v>
      </c>
      <c r="R695" s="563">
        <f t="shared" ca="1" si="54"/>
        <v>1</v>
      </c>
      <c r="S695" s="573" t="s">
        <v>1327</v>
      </c>
    </row>
    <row r="696" spans="2:19" ht="60" customHeight="1" x14ac:dyDescent="0.25">
      <c r="B696" s="860">
        <v>43446</v>
      </c>
      <c r="C696" s="558" t="s">
        <v>2349</v>
      </c>
      <c r="D696" s="558"/>
      <c r="E696" s="573" t="s">
        <v>1412</v>
      </c>
      <c r="F696" s="575" t="s">
        <v>1548</v>
      </c>
      <c r="G696" s="549" t="s">
        <v>1502</v>
      </c>
      <c r="H696" s="575" t="s">
        <v>1549</v>
      </c>
      <c r="I696" s="575" t="s">
        <v>23</v>
      </c>
      <c r="J696" s="575" t="s">
        <v>1512</v>
      </c>
      <c r="K696" s="580">
        <v>7546.61</v>
      </c>
      <c r="L696" s="580">
        <v>50.130299999999998</v>
      </c>
      <c r="M696" s="552">
        <f t="shared" si="55"/>
        <v>150.53989303874104</v>
      </c>
      <c r="N696" s="526">
        <v>60</v>
      </c>
      <c r="O696" s="563">
        <f t="shared" si="51"/>
        <v>125.77683333333333</v>
      </c>
      <c r="P696" s="564">
        <f t="shared" ca="1" si="52"/>
        <v>80</v>
      </c>
      <c r="Q696" s="552">
        <f t="shared" ca="1" si="53"/>
        <v>-2515.536666666666</v>
      </c>
      <c r="R696" s="563">
        <f t="shared" ca="1" si="54"/>
        <v>1</v>
      </c>
      <c r="S696" s="573" t="s">
        <v>1327</v>
      </c>
    </row>
    <row r="697" spans="2:19" ht="60" customHeight="1" x14ac:dyDescent="0.25">
      <c r="B697" s="860">
        <v>43446</v>
      </c>
      <c r="C697" s="558" t="s">
        <v>2349</v>
      </c>
      <c r="D697" s="558"/>
      <c r="E697" s="573" t="s">
        <v>1412</v>
      </c>
      <c r="F697" s="575" t="s">
        <v>1550</v>
      </c>
      <c r="G697" s="549" t="s">
        <v>1502</v>
      </c>
      <c r="H697" s="575" t="s">
        <v>1551</v>
      </c>
      <c r="I697" s="575" t="s">
        <v>23</v>
      </c>
      <c r="J697" s="548" t="s">
        <v>737</v>
      </c>
      <c r="K697" s="580">
        <v>7546.61</v>
      </c>
      <c r="L697" s="580">
        <v>50.130299999999998</v>
      </c>
      <c r="M697" s="552">
        <f t="shared" si="55"/>
        <v>150.53989303874104</v>
      </c>
      <c r="N697" s="526">
        <v>60</v>
      </c>
      <c r="O697" s="563">
        <f t="shared" si="51"/>
        <v>125.77683333333333</v>
      </c>
      <c r="P697" s="564">
        <f t="shared" ca="1" si="52"/>
        <v>80</v>
      </c>
      <c r="Q697" s="552">
        <f t="shared" ca="1" si="53"/>
        <v>-2515.536666666666</v>
      </c>
      <c r="R697" s="563">
        <f t="shared" ca="1" si="54"/>
        <v>1</v>
      </c>
      <c r="S697" s="573" t="s">
        <v>1327</v>
      </c>
    </row>
    <row r="698" spans="2:19" ht="60" customHeight="1" x14ac:dyDescent="0.25">
      <c r="B698" s="860">
        <v>43446</v>
      </c>
      <c r="C698" s="558" t="s">
        <v>2349</v>
      </c>
      <c r="D698" s="558"/>
      <c r="E698" s="575" t="s">
        <v>1412</v>
      </c>
      <c r="F698" s="575" t="s">
        <v>1459</v>
      </c>
      <c r="G698" s="549" t="s">
        <v>1460</v>
      </c>
      <c r="H698" s="575" t="s">
        <v>28</v>
      </c>
      <c r="I698" s="575" t="s">
        <v>1443</v>
      </c>
      <c r="J698" s="575" t="s">
        <v>1444</v>
      </c>
      <c r="K698" s="580">
        <v>2066</v>
      </c>
      <c r="L698" s="580">
        <v>50.130299999999998</v>
      </c>
      <c r="M698" s="581">
        <v>41.212599964492533</v>
      </c>
      <c r="N698" s="526">
        <v>60</v>
      </c>
      <c r="O698" s="563">
        <f t="shared" si="51"/>
        <v>34.43333333333333</v>
      </c>
      <c r="P698" s="564">
        <f t="shared" ca="1" si="52"/>
        <v>80</v>
      </c>
      <c r="Q698" s="552">
        <f t="shared" ca="1" si="53"/>
        <v>-688.66666666666652</v>
      </c>
      <c r="R698" s="563">
        <f t="shared" ca="1" si="54"/>
        <v>1</v>
      </c>
      <c r="S698" s="573" t="s">
        <v>1427</v>
      </c>
    </row>
    <row r="699" spans="2:19" ht="60" customHeight="1" x14ac:dyDescent="0.25">
      <c r="B699" s="860">
        <v>43446</v>
      </c>
      <c r="C699" s="558" t="s">
        <v>2349</v>
      </c>
      <c r="D699" s="558"/>
      <c r="E699" s="575" t="s">
        <v>1412</v>
      </c>
      <c r="F699" s="575" t="s">
        <v>1461</v>
      </c>
      <c r="G699" s="549" t="s">
        <v>1460</v>
      </c>
      <c r="H699" s="575" t="s">
        <v>28</v>
      </c>
      <c r="I699" s="575" t="s">
        <v>1443</v>
      </c>
      <c r="J699" s="575" t="s">
        <v>1444</v>
      </c>
      <c r="K699" s="580">
        <v>2066</v>
      </c>
      <c r="L699" s="580">
        <v>50.130299999999998</v>
      </c>
      <c r="M699" s="581">
        <v>41.212599964492533</v>
      </c>
      <c r="N699" s="526">
        <v>60</v>
      </c>
      <c r="O699" s="563">
        <f t="shared" si="51"/>
        <v>34.43333333333333</v>
      </c>
      <c r="P699" s="564">
        <f t="shared" ca="1" si="52"/>
        <v>80</v>
      </c>
      <c r="Q699" s="552">
        <f t="shared" ca="1" si="53"/>
        <v>-688.66666666666652</v>
      </c>
      <c r="R699" s="563">
        <f t="shared" ca="1" si="54"/>
        <v>1</v>
      </c>
      <c r="S699" s="573" t="s">
        <v>1427</v>
      </c>
    </row>
    <row r="700" spans="2:19" ht="60" customHeight="1" x14ac:dyDescent="0.25">
      <c r="B700" s="860">
        <v>43446</v>
      </c>
      <c r="C700" s="558" t="s">
        <v>2349</v>
      </c>
      <c r="D700" s="558"/>
      <c r="E700" s="573" t="s">
        <v>1412</v>
      </c>
      <c r="F700" s="575" t="s">
        <v>1487</v>
      </c>
      <c r="G700" s="549" t="s">
        <v>1460</v>
      </c>
      <c r="H700" s="575" t="s">
        <v>28</v>
      </c>
      <c r="I700" s="575" t="s">
        <v>45</v>
      </c>
      <c r="J700" s="575" t="s">
        <v>837</v>
      </c>
      <c r="K700" s="580">
        <v>2066</v>
      </c>
      <c r="L700" s="580">
        <v>50.130299999999998</v>
      </c>
      <c r="M700" s="552">
        <f>+K700/L700</f>
        <v>41.212599964492533</v>
      </c>
      <c r="N700" s="526">
        <v>60</v>
      </c>
      <c r="O700" s="563">
        <f t="shared" si="51"/>
        <v>34.43333333333333</v>
      </c>
      <c r="P700" s="564">
        <f t="shared" ca="1" si="52"/>
        <v>80</v>
      </c>
      <c r="Q700" s="552">
        <f t="shared" ca="1" si="53"/>
        <v>-688.66666666666652</v>
      </c>
      <c r="R700" s="563">
        <f t="shared" ca="1" si="54"/>
        <v>1</v>
      </c>
      <c r="S700" s="573" t="s">
        <v>1427</v>
      </c>
    </row>
    <row r="701" spans="2:19" ht="60" customHeight="1" x14ac:dyDescent="0.25">
      <c r="B701" s="860">
        <v>43446</v>
      </c>
      <c r="C701" s="558" t="s">
        <v>2349</v>
      </c>
      <c r="D701" s="558"/>
      <c r="E701" s="573" t="s">
        <v>1412</v>
      </c>
      <c r="F701" s="575" t="s">
        <v>1488</v>
      </c>
      <c r="G701" s="549" t="s">
        <v>1460</v>
      </c>
      <c r="H701" s="575" t="s">
        <v>28</v>
      </c>
      <c r="I701" s="575" t="s">
        <v>45</v>
      </c>
      <c r="J701" s="575" t="s">
        <v>837</v>
      </c>
      <c r="K701" s="580">
        <v>2066</v>
      </c>
      <c r="L701" s="580">
        <v>50.130299999999998</v>
      </c>
      <c r="M701" s="552">
        <f>+K701/L701</f>
        <v>41.212599964492533</v>
      </c>
      <c r="N701" s="526">
        <v>60</v>
      </c>
      <c r="O701" s="563">
        <f t="shared" si="51"/>
        <v>34.43333333333333</v>
      </c>
      <c r="P701" s="564">
        <f t="shared" ca="1" si="52"/>
        <v>80</v>
      </c>
      <c r="Q701" s="552">
        <f t="shared" ca="1" si="53"/>
        <v>-688.66666666666652</v>
      </c>
      <c r="R701" s="563">
        <f t="shared" ca="1" si="54"/>
        <v>1</v>
      </c>
      <c r="S701" s="573" t="s">
        <v>1427</v>
      </c>
    </row>
    <row r="702" spans="2:19" ht="60" customHeight="1" x14ac:dyDescent="0.25">
      <c r="B702" s="860">
        <v>43446</v>
      </c>
      <c r="C702" s="558" t="s">
        <v>2349</v>
      </c>
      <c r="D702" s="558"/>
      <c r="E702" s="573" t="s">
        <v>1412</v>
      </c>
      <c r="F702" s="575" t="s">
        <v>1581</v>
      </c>
      <c r="G702" s="549" t="s">
        <v>1460</v>
      </c>
      <c r="H702" s="575" t="s">
        <v>28</v>
      </c>
      <c r="I702" s="575" t="s">
        <v>23</v>
      </c>
      <c r="J702" s="575" t="s">
        <v>1512</v>
      </c>
      <c r="K702" s="580">
        <v>2066</v>
      </c>
      <c r="L702" s="580">
        <v>50.130299999999998</v>
      </c>
      <c r="M702" s="552">
        <f>+K702/L702</f>
        <v>41.212599964492533</v>
      </c>
      <c r="N702" s="526">
        <v>60</v>
      </c>
      <c r="O702" s="563">
        <f t="shared" si="51"/>
        <v>34.43333333333333</v>
      </c>
      <c r="P702" s="564">
        <f t="shared" ca="1" si="52"/>
        <v>80</v>
      </c>
      <c r="Q702" s="552">
        <f t="shared" ca="1" si="53"/>
        <v>-688.66666666666652</v>
      </c>
      <c r="R702" s="563">
        <f t="shared" ca="1" si="54"/>
        <v>1</v>
      </c>
      <c r="S702" s="573" t="s">
        <v>1327</v>
      </c>
    </row>
    <row r="703" spans="2:19" ht="60" customHeight="1" x14ac:dyDescent="0.25">
      <c r="B703" s="860">
        <v>43446</v>
      </c>
      <c r="C703" s="558" t="s">
        <v>2349</v>
      </c>
      <c r="D703" s="558"/>
      <c r="E703" s="573" t="s">
        <v>1412</v>
      </c>
      <c r="F703" s="575" t="s">
        <v>1582</v>
      </c>
      <c r="G703" s="549" t="s">
        <v>1460</v>
      </c>
      <c r="H703" s="575" t="s">
        <v>28</v>
      </c>
      <c r="I703" s="575" t="s">
        <v>23</v>
      </c>
      <c r="J703" s="575" t="s">
        <v>1512</v>
      </c>
      <c r="K703" s="580">
        <v>2066</v>
      </c>
      <c r="L703" s="580">
        <v>50.130299999999998</v>
      </c>
      <c r="M703" s="552">
        <f>+K703/L703</f>
        <v>41.212599964492533</v>
      </c>
      <c r="N703" s="526">
        <v>60</v>
      </c>
      <c r="O703" s="563">
        <f t="shared" si="51"/>
        <v>34.43333333333333</v>
      </c>
      <c r="P703" s="564">
        <f t="shared" ca="1" si="52"/>
        <v>80</v>
      </c>
      <c r="Q703" s="552">
        <f t="shared" ca="1" si="53"/>
        <v>-688.66666666666652</v>
      </c>
      <c r="R703" s="563">
        <f t="shared" ca="1" si="54"/>
        <v>1</v>
      </c>
      <c r="S703" s="573" t="s">
        <v>1327</v>
      </c>
    </row>
    <row r="704" spans="2:19" ht="60" customHeight="1" x14ac:dyDescent="0.25">
      <c r="B704" s="860">
        <v>43446</v>
      </c>
      <c r="C704" s="558" t="s">
        <v>2349</v>
      </c>
      <c r="D704" s="558"/>
      <c r="E704" s="575" t="s">
        <v>1412</v>
      </c>
      <c r="F704" s="575" t="s">
        <v>1452</v>
      </c>
      <c r="G704" s="549" t="s">
        <v>1453</v>
      </c>
      <c r="H704" s="575" t="s">
        <v>28</v>
      </c>
      <c r="I704" s="575" t="s">
        <v>1443</v>
      </c>
      <c r="J704" s="575" t="s">
        <v>1444</v>
      </c>
      <c r="K704" s="580">
        <v>12600</v>
      </c>
      <c r="L704" s="580">
        <v>50.130299999999998</v>
      </c>
      <c r="M704" s="581">
        <v>251.34499494317808</v>
      </c>
      <c r="N704" s="526">
        <v>60</v>
      </c>
      <c r="O704" s="563">
        <f t="shared" si="51"/>
        <v>210</v>
      </c>
      <c r="P704" s="564">
        <f t="shared" ca="1" si="52"/>
        <v>80</v>
      </c>
      <c r="Q704" s="552">
        <f t="shared" ca="1" si="53"/>
        <v>-4200</v>
      </c>
      <c r="R704" s="563">
        <f t="shared" ca="1" si="54"/>
        <v>1</v>
      </c>
      <c r="S704" s="573" t="s">
        <v>1427</v>
      </c>
    </row>
    <row r="705" spans="2:19" ht="60" customHeight="1" x14ac:dyDescent="0.25">
      <c r="B705" s="860">
        <v>43446</v>
      </c>
      <c r="C705" s="558" t="s">
        <v>2349</v>
      </c>
      <c r="D705" s="558"/>
      <c r="E705" s="573" t="s">
        <v>1412</v>
      </c>
      <c r="F705" s="575" t="s">
        <v>1484</v>
      </c>
      <c r="G705" s="549" t="s">
        <v>1453</v>
      </c>
      <c r="H705" s="575" t="s">
        <v>28</v>
      </c>
      <c r="I705" s="575" t="s">
        <v>45</v>
      </c>
      <c r="J705" s="575" t="s">
        <v>837</v>
      </c>
      <c r="K705" s="580">
        <v>12600</v>
      </c>
      <c r="L705" s="580">
        <v>50.130299999999998</v>
      </c>
      <c r="M705" s="552">
        <f>+K705/L705</f>
        <v>251.34499494317808</v>
      </c>
      <c r="N705" s="526">
        <v>60</v>
      </c>
      <c r="O705" s="563">
        <f t="shared" si="51"/>
        <v>210</v>
      </c>
      <c r="P705" s="564">
        <f t="shared" ca="1" si="52"/>
        <v>80</v>
      </c>
      <c r="Q705" s="552">
        <f t="shared" ca="1" si="53"/>
        <v>-4200</v>
      </c>
      <c r="R705" s="563">
        <f t="shared" ca="1" si="54"/>
        <v>1</v>
      </c>
      <c r="S705" s="573" t="s">
        <v>1427</v>
      </c>
    </row>
    <row r="706" spans="2:19" ht="60" customHeight="1" x14ac:dyDescent="0.25">
      <c r="B706" s="860">
        <v>43446</v>
      </c>
      <c r="C706" s="558" t="s">
        <v>2349</v>
      </c>
      <c r="D706" s="558"/>
      <c r="E706" s="573" t="s">
        <v>1412</v>
      </c>
      <c r="F706" s="575" t="s">
        <v>1528</v>
      </c>
      <c r="G706" s="549" t="s">
        <v>1453</v>
      </c>
      <c r="H706" s="575" t="s">
        <v>28</v>
      </c>
      <c r="I706" s="575" t="s">
        <v>23</v>
      </c>
      <c r="J706" s="575" t="s">
        <v>1512</v>
      </c>
      <c r="K706" s="580">
        <v>12600</v>
      </c>
      <c r="L706" s="580">
        <v>50.130299999999998</v>
      </c>
      <c r="M706" s="552">
        <f>+K706/L706</f>
        <v>251.34499494317808</v>
      </c>
      <c r="N706" s="526">
        <v>60</v>
      </c>
      <c r="O706" s="563">
        <f t="shared" si="51"/>
        <v>210</v>
      </c>
      <c r="P706" s="564">
        <f t="shared" ca="1" si="52"/>
        <v>80</v>
      </c>
      <c r="Q706" s="552">
        <f t="shared" ca="1" si="53"/>
        <v>-4200</v>
      </c>
      <c r="R706" s="563">
        <f t="shared" ca="1" si="54"/>
        <v>1</v>
      </c>
      <c r="S706" s="573" t="s">
        <v>1427</v>
      </c>
    </row>
    <row r="707" spans="2:19" ht="60" customHeight="1" x14ac:dyDescent="0.25">
      <c r="B707" s="860">
        <v>43446</v>
      </c>
      <c r="C707" s="558" t="s">
        <v>2349</v>
      </c>
      <c r="D707" s="558"/>
      <c r="E707" s="573" t="s">
        <v>1412</v>
      </c>
      <c r="F707" s="575" t="s">
        <v>1435</v>
      </c>
      <c r="G707" s="549" t="s">
        <v>1436</v>
      </c>
      <c r="H707" s="575" t="s">
        <v>28</v>
      </c>
      <c r="I707" s="575" t="s">
        <v>318</v>
      </c>
      <c r="J707" s="575" t="s">
        <v>1415</v>
      </c>
      <c r="K707" s="580">
        <v>10584</v>
      </c>
      <c r="L707" s="580">
        <v>50.130299999999998</v>
      </c>
      <c r="M707" s="552">
        <f>+K707/L707</f>
        <v>211.12979575226959</v>
      </c>
      <c r="N707" s="526">
        <v>60</v>
      </c>
      <c r="O707" s="563">
        <f t="shared" si="51"/>
        <v>176.4</v>
      </c>
      <c r="P707" s="564">
        <f t="shared" ca="1" si="52"/>
        <v>80</v>
      </c>
      <c r="Q707" s="552">
        <f t="shared" ca="1" si="53"/>
        <v>-3528</v>
      </c>
      <c r="R707" s="563">
        <f t="shared" ca="1" si="54"/>
        <v>1</v>
      </c>
      <c r="S707" s="573" t="s">
        <v>1427</v>
      </c>
    </row>
    <row r="708" spans="2:19" ht="60" customHeight="1" x14ac:dyDescent="0.25">
      <c r="B708" s="860">
        <v>43446</v>
      </c>
      <c r="C708" s="558" t="s">
        <v>2349</v>
      </c>
      <c r="D708" s="558"/>
      <c r="E708" s="575" t="s">
        <v>1412</v>
      </c>
      <c r="F708" s="575" t="s">
        <v>1451</v>
      </c>
      <c r="G708" s="549" t="s">
        <v>1436</v>
      </c>
      <c r="H708" s="575" t="s">
        <v>28</v>
      </c>
      <c r="I708" s="575" t="s">
        <v>1443</v>
      </c>
      <c r="J708" s="575" t="s">
        <v>1444</v>
      </c>
      <c r="K708" s="580">
        <v>10584</v>
      </c>
      <c r="L708" s="580">
        <v>50.130299999999998</v>
      </c>
      <c r="M708" s="581">
        <v>211.12979575226959</v>
      </c>
      <c r="N708" s="526">
        <v>60</v>
      </c>
      <c r="O708" s="563">
        <f t="shared" si="51"/>
        <v>176.4</v>
      </c>
      <c r="P708" s="564">
        <f t="shared" ca="1" si="52"/>
        <v>80</v>
      </c>
      <c r="Q708" s="552">
        <f t="shared" ca="1" si="53"/>
        <v>-3528</v>
      </c>
      <c r="R708" s="563">
        <f t="shared" ca="1" si="54"/>
        <v>1</v>
      </c>
      <c r="S708" s="573" t="s">
        <v>1427</v>
      </c>
    </row>
    <row r="709" spans="2:19" ht="60" customHeight="1" x14ac:dyDescent="0.25">
      <c r="B709" s="860">
        <v>43446</v>
      </c>
      <c r="C709" s="558" t="s">
        <v>2349</v>
      </c>
      <c r="D709" s="558"/>
      <c r="E709" s="573" t="s">
        <v>1412</v>
      </c>
      <c r="F709" s="575" t="s">
        <v>1482</v>
      </c>
      <c r="G709" s="549" t="s">
        <v>1436</v>
      </c>
      <c r="H709" s="575" t="s">
        <v>28</v>
      </c>
      <c r="I709" s="575" t="s">
        <v>45</v>
      </c>
      <c r="J709" s="575" t="s">
        <v>837</v>
      </c>
      <c r="K709" s="580">
        <v>10584</v>
      </c>
      <c r="L709" s="580">
        <v>50.130299999999998</v>
      </c>
      <c r="M709" s="552">
        <f>+K709/L709</f>
        <v>211.12979575226959</v>
      </c>
      <c r="N709" s="526">
        <v>60</v>
      </c>
      <c r="O709" s="563">
        <f t="shared" si="51"/>
        <v>176.4</v>
      </c>
      <c r="P709" s="564">
        <f t="shared" ca="1" si="52"/>
        <v>80</v>
      </c>
      <c r="Q709" s="552">
        <f t="shared" ca="1" si="53"/>
        <v>-3528</v>
      </c>
      <c r="R709" s="563">
        <f t="shared" ca="1" si="54"/>
        <v>1</v>
      </c>
      <c r="S709" s="573" t="s">
        <v>1427</v>
      </c>
    </row>
    <row r="710" spans="2:19" ht="60" customHeight="1" x14ac:dyDescent="0.25">
      <c r="B710" s="860">
        <v>43446</v>
      </c>
      <c r="C710" s="558" t="s">
        <v>2349</v>
      </c>
      <c r="D710" s="558"/>
      <c r="E710" s="573" t="s">
        <v>1412</v>
      </c>
      <c r="F710" s="575" t="s">
        <v>1483</v>
      </c>
      <c r="G710" s="549" t="s">
        <v>1436</v>
      </c>
      <c r="H710" s="575" t="s">
        <v>28</v>
      </c>
      <c r="I710" s="575" t="s">
        <v>45</v>
      </c>
      <c r="J710" s="575" t="s">
        <v>837</v>
      </c>
      <c r="K710" s="580">
        <v>10584</v>
      </c>
      <c r="L710" s="580">
        <v>50.130299999999998</v>
      </c>
      <c r="M710" s="552">
        <f>+K710/L710</f>
        <v>211.12979575226959</v>
      </c>
      <c r="N710" s="526">
        <v>60</v>
      </c>
      <c r="O710" s="563">
        <f t="shared" si="51"/>
        <v>176.4</v>
      </c>
      <c r="P710" s="564">
        <f t="shared" ca="1" si="52"/>
        <v>80</v>
      </c>
      <c r="Q710" s="552">
        <f t="shared" ca="1" si="53"/>
        <v>-3528</v>
      </c>
      <c r="R710" s="563">
        <f t="shared" ca="1" si="54"/>
        <v>1</v>
      </c>
      <c r="S710" s="573" t="s">
        <v>1427</v>
      </c>
    </row>
    <row r="711" spans="2:19" ht="60" customHeight="1" x14ac:dyDescent="0.25">
      <c r="B711" s="860">
        <v>43446</v>
      </c>
      <c r="C711" s="558" t="s">
        <v>2349</v>
      </c>
      <c r="D711" s="558"/>
      <c r="E711" s="573" t="s">
        <v>1412</v>
      </c>
      <c r="F711" s="575" t="s">
        <v>1526</v>
      </c>
      <c r="G711" s="549" t="s">
        <v>1436</v>
      </c>
      <c r="H711" s="575" t="s">
        <v>28</v>
      </c>
      <c r="I711" s="575" t="s">
        <v>23</v>
      </c>
      <c r="J711" s="575" t="s">
        <v>1512</v>
      </c>
      <c r="K711" s="580">
        <v>10584</v>
      </c>
      <c r="L711" s="580">
        <v>50.130299999999998</v>
      </c>
      <c r="M711" s="552">
        <f>+K711/L711</f>
        <v>211.12979575226959</v>
      </c>
      <c r="N711" s="526">
        <v>60</v>
      </c>
      <c r="O711" s="563">
        <f t="shared" si="51"/>
        <v>176.4</v>
      </c>
      <c r="P711" s="564">
        <f t="shared" ca="1" si="52"/>
        <v>80</v>
      </c>
      <c r="Q711" s="552">
        <f t="shared" ca="1" si="53"/>
        <v>-3528</v>
      </c>
      <c r="R711" s="563">
        <f t="shared" ca="1" si="54"/>
        <v>1</v>
      </c>
      <c r="S711" s="573" t="s">
        <v>1427</v>
      </c>
    </row>
    <row r="712" spans="2:19" ht="60" customHeight="1" x14ac:dyDescent="0.25">
      <c r="B712" s="860">
        <v>43446</v>
      </c>
      <c r="C712" s="558" t="s">
        <v>2349</v>
      </c>
      <c r="D712" s="558"/>
      <c r="E712" s="573" t="s">
        <v>1412</v>
      </c>
      <c r="F712" s="575" t="s">
        <v>1527</v>
      </c>
      <c r="G712" s="549" t="s">
        <v>1436</v>
      </c>
      <c r="H712" s="575" t="s">
        <v>28</v>
      </c>
      <c r="I712" s="575" t="s">
        <v>23</v>
      </c>
      <c r="J712" s="575" t="s">
        <v>1512</v>
      </c>
      <c r="K712" s="580">
        <v>10584</v>
      </c>
      <c r="L712" s="580">
        <v>50.130299999999998</v>
      </c>
      <c r="M712" s="552">
        <f>+K712/L712</f>
        <v>211.12979575226959</v>
      </c>
      <c r="N712" s="526">
        <v>60</v>
      </c>
      <c r="O712" s="563">
        <f t="shared" ref="O712:O775" si="56">IF(AND(K712&lt;&gt;0,N712&lt;&gt;0),K712/N712,0)</f>
        <v>176.4</v>
      </c>
      <c r="P712" s="564">
        <f t="shared" ref="P712:P775" ca="1" si="57">IF(B712&lt;&gt;0,(ROUND((NOW()-B712)/30,0)),0)</f>
        <v>80</v>
      </c>
      <c r="Q712" s="552">
        <f t="shared" ref="Q712:Q775" ca="1" si="58">IF(OR(K712=0,N712=0,P712=0),0,K712-(O712*P712))</f>
        <v>-3528</v>
      </c>
      <c r="R712" s="563">
        <f t="shared" ref="R712:R775" ca="1" si="59">IF(Q712&lt;1,1,Q712)</f>
        <v>1</v>
      </c>
      <c r="S712" s="573" t="s">
        <v>1427</v>
      </c>
    </row>
    <row r="713" spans="2:19" ht="60" customHeight="1" x14ac:dyDescent="0.25">
      <c r="B713" s="860">
        <v>43446</v>
      </c>
      <c r="C713" s="558" t="s">
        <v>2349</v>
      </c>
      <c r="D713" s="558"/>
      <c r="E713" s="575" t="s">
        <v>1412</v>
      </c>
      <c r="F713" s="575" t="s">
        <v>1454</v>
      </c>
      <c r="G713" s="549" t="s">
        <v>1455</v>
      </c>
      <c r="H713" s="575" t="s">
        <v>28</v>
      </c>
      <c r="I713" s="575" t="s">
        <v>1443</v>
      </c>
      <c r="J713" s="575" t="s">
        <v>1444</v>
      </c>
      <c r="K713" s="580">
        <v>13500</v>
      </c>
      <c r="L713" s="580">
        <v>50.130299999999998</v>
      </c>
      <c r="M713" s="581">
        <v>269.29820886769079</v>
      </c>
      <c r="N713" s="526">
        <v>60</v>
      </c>
      <c r="O713" s="563">
        <f t="shared" si="56"/>
        <v>225</v>
      </c>
      <c r="P713" s="564">
        <f t="shared" ca="1" si="57"/>
        <v>80</v>
      </c>
      <c r="Q713" s="552">
        <f t="shared" ca="1" si="58"/>
        <v>-4500</v>
      </c>
      <c r="R713" s="563">
        <f t="shared" ca="1" si="59"/>
        <v>1</v>
      </c>
      <c r="S713" s="573" t="s">
        <v>1427</v>
      </c>
    </row>
    <row r="714" spans="2:19" ht="60" customHeight="1" x14ac:dyDescent="0.25">
      <c r="B714" s="860">
        <v>43446</v>
      </c>
      <c r="C714" s="558" t="s">
        <v>2349</v>
      </c>
      <c r="D714" s="558"/>
      <c r="E714" s="575" t="s">
        <v>1412</v>
      </c>
      <c r="F714" s="575" t="s">
        <v>1456</v>
      </c>
      <c r="G714" s="549" t="s">
        <v>1455</v>
      </c>
      <c r="H714" s="575" t="s">
        <v>28</v>
      </c>
      <c r="I714" s="575" t="s">
        <v>1443</v>
      </c>
      <c r="J714" s="575" t="s">
        <v>1444</v>
      </c>
      <c r="K714" s="580">
        <v>13500</v>
      </c>
      <c r="L714" s="580">
        <v>50.130299999999998</v>
      </c>
      <c r="M714" s="581">
        <v>269.29820886769079</v>
      </c>
      <c r="N714" s="526">
        <v>60</v>
      </c>
      <c r="O714" s="563">
        <f t="shared" si="56"/>
        <v>225</v>
      </c>
      <c r="P714" s="564">
        <f t="shared" ca="1" si="57"/>
        <v>80</v>
      </c>
      <c r="Q714" s="552">
        <f t="shared" ca="1" si="58"/>
        <v>-4500</v>
      </c>
      <c r="R714" s="563">
        <f t="shared" ca="1" si="59"/>
        <v>1</v>
      </c>
      <c r="S714" s="573" t="s">
        <v>1427</v>
      </c>
    </row>
    <row r="715" spans="2:19" ht="60" customHeight="1" x14ac:dyDescent="0.25">
      <c r="B715" s="860">
        <v>43446</v>
      </c>
      <c r="C715" s="558" t="s">
        <v>2349</v>
      </c>
      <c r="D715" s="558"/>
      <c r="E715" s="573" t="s">
        <v>1412</v>
      </c>
      <c r="F715" s="575" t="s">
        <v>1485</v>
      </c>
      <c r="G715" s="549" t="s">
        <v>1455</v>
      </c>
      <c r="H715" s="575" t="s">
        <v>28</v>
      </c>
      <c r="I715" s="548" t="s">
        <v>45</v>
      </c>
      <c r="J715" s="548" t="s">
        <v>837</v>
      </c>
      <c r="K715" s="580">
        <v>13500</v>
      </c>
      <c r="L715" s="580">
        <v>50.130299999999998</v>
      </c>
      <c r="M715" s="552">
        <f t="shared" ref="M715:M720" si="60">+K715/L715</f>
        <v>269.29820886769079</v>
      </c>
      <c r="N715" s="526">
        <v>60</v>
      </c>
      <c r="O715" s="563">
        <f t="shared" si="56"/>
        <v>225</v>
      </c>
      <c r="P715" s="564">
        <f t="shared" ca="1" si="57"/>
        <v>80</v>
      </c>
      <c r="Q715" s="552">
        <f t="shared" ca="1" si="58"/>
        <v>-4500</v>
      </c>
      <c r="R715" s="563">
        <f t="shared" ca="1" si="59"/>
        <v>1</v>
      </c>
      <c r="S715" s="573" t="s">
        <v>1427</v>
      </c>
    </row>
    <row r="716" spans="2:19" ht="60" customHeight="1" x14ac:dyDescent="0.25">
      <c r="B716" s="860">
        <v>43446</v>
      </c>
      <c r="C716" s="558" t="s">
        <v>2349</v>
      </c>
      <c r="D716" s="558"/>
      <c r="E716" s="573" t="s">
        <v>1412</v>
      </c>
      <c r="F716" s="575" t="s">
        <v>1529</v>
      </c>
      <c r="G716" s="549" t="s">
        <v>1455</v>
      </c>
      <c r="H716" s="575" t="s">
        <v>28</v>
      </c>
      <c r="I716" s="548" t="s">
        <v>23</v>
      </c>
      <c r="J716" s="548" t="s">
        <v>1512</v>
      </c>
      <c r="K716" s="580">
        <v>13500</v>
      </c>
      <c r="L716" s="580">
        <v>50.130299999999998</v>
      </c>
      <c r="M716" s="552">
        <f t="shared" si="60"/>
        <v>269.29820886769079</v>
      </c>
      <c r="N716" s="526">
        <v>60</v>
      </c>
      <c r="O716" s="563">
        <f t="shared" si="56"/>
        <v>225</v>
      </c>
      <c r="P716" s="564">
        <f t="shared" ca="1" si="57"/>
        <v>80</v>
      </c>
      <c r="Q716" s="552">
        <f t="shared" ca="1" si="58"/>
        <v>-4500</v>
      </c>
      <c r="R716" s="563">
        <f t="shared" ca="1" si="59"/>
        <v>1</v>
      </c>
      <c r="S716" s="573" t="s">
        <v>1427</v>
      </c>
    </row>
    <row r="717" spans="2:19" ht="60" customHeight="1" x14ac:dyDescent="0.25">
      <c r="B717" s="860">
        <v>43446</v>
      </c>
      <c r="C717" s="558" t="s">
        <v>2349</v>
      </c>
      <c r="D717" s="558"/>
      <c r="E717" s="573" t="s">
        <v>1412</v>
      </c>
      <c r="F717" s="575" t="s">
        <v>1530</v>
      </c>
      <c r="G717" s="549" t="s">
        <v>1455</v>
      </c>
      <c r="H717" s="575" t="s">
        <v>28</v>
      </c>
      <c r="I717" s="548" t="s">
        <v>23</v>
      </c>
      <c r="J717" s="548" t="s">
        <v>1512</v>
      </c>
      <c r="K717" s="580">
        <v>13500</v>
      </c>
      <c r="L717" s="580">
        <v>50.130299999999998</v>
      </c>
      <c r="M717" s="552">
        <f t="shared" si="60"/>
        <v>269.29820886769079</v>
      </c>
      <c r="N717" s="526">
        <v>60</v>
      </c>
      <c r="O717" s="563">
        <f t="shared" si="56"/>
        <v>225</v>
      </c>
      <c r="P717" s="564">
        <f t="shared" ca="1" si="57"/>
        <v>80</v>
      </c>
      <c r="Q717" s="552">
        <f t="shared" ca="1" si="58"/>
        <v>-4500</v>
      </c>
      <c r="R717" s="563">
        <f t="shared" ca="1" si="59"/>
        <v>1</v>
      </c>
      <c r="S717" s="573" t="s">
        <v>1327</v>
      </c>
    </row>
    <row r="718" spans="2:19" ht="60" customHeight="1" x14ac:dyDescent="0.25">
      <c r="B718" s="860">
        <v>43446</v>
      </c>
      <c r="C718" s="558" t="s">
        <v>2349</v>
      </c>
      <c r="D718" s="558"/>
      <c r="E718" s="573" t="s">
        <v>1412</v>
      </c>
      <c r="F718" s="575" t="s">
        <v>1540</v>
      </c>
      <c r="G718" s="549" t="s">
        <v>1497</v>
      </c>
      <c r="H718" s="575" t="s">
        <v>28</v>
      </c>
      <c r="I718" s="575" t="s">
        <v>23</v>
      </c>
      <c r="J718" s="575" t="s">
        <v>1512</v>
      </c>
      <c r="K718" s="580">
        <v>16337</v>
      </c>
      <c r="L718" s="580">
        <v>50.130299999999998</v>
      </c>
      <c r="M718" s="552">
        <f t="shared" si="60"/>
        <v>325.89072876084924</v>
      </c>
      <c r="N718" s="526">
        <v>60</v>
      </c>
      <c r="O718" s="563">
        <f t="shared" si="56"/>
        <v>272.28333333333336</v>
      </c>
      <c r="P718" s="564">
        <f t="shared" ca="1" si="57"/>
        <v>80</v>
      </c>
      <c r="Q718" s="552">
        <f t="shared" ca="1" si="58"/>
        <v>-5445.6666666666679</v>
      </c>
      <c r="R718" s="563">
        <f t="shared" ca="1" si="59"/>
        <v>1</v>
      </c>
      <c r="S718" s="573" t="s">
        <v>1327</v>
      </c>
    </row>
    <row r="719" spans="2:19" ht="60" customHeight="1" x14ac:dyDescent="0.25">
      <c r="B719" s="860">
        <v>43446</v>
      </c>
      <c r="C719" s="558" t="s">
        <v>2349</v>
      </c>
      <c r="D719" s="558"/>
      <c r="E719" s="573" t="s">
        <v>1412</v>
      </c>
      <c r="F719" s="575" t="s">
        <v>1513</v>
      </c>
      <c r="G719" s="549" t="s">
        <v>1514</v>
      </c>
      <c r="H719" s="575" t="s">
        <v>28</v>
      </c>
      <c r="I719" s="575" t="s">
        <v>23</v>
      </c>
      <c r="J719" s="575" t="s">
        <v>1512</v>
      </c>
      <c r="K719" s="580">
        <v>218400</v>
      </c>
      <c r="L719" s="580">
        <v>50.130299999999998</v>
      </c>
      <c r="M719" s="552">
        <f t="shared" si="60"/>
        <v>4356.6465790150869</v>
      </c>
      <c r="N719" s="526">
        <v>60</v>
      </c>
      <c r="O719" s="563">
        <f t="shared" si="56"/>
        <v>3640</v>
      </c>
      <c r="P719" s="564">
        <f t="shared" ca="1" si="57"/>
        <v>80</v>
      </c>
      <c r="Q719" s="552">
        <f t="shared" ca="1" si="58"/>
        <v>-72800</v>
      </c>
      <c r="R719" s="563">
        <f t="shared" ca="1" si="59"/>
        <v>1</v>
      </c>
      <c r="S719" s="573" t="s">
        <v>1427</v>
      </c>
    </row>
    <row r="720" spans="2:19" ht="60" customHeight="1" x14ac:dyDescent="0.25">
      <c r="B720" s="860">
        <v>43446</v>
      </c>
      <c r="C720" s="558" t="s">
        <v>2349</v>
      </c>
      <c r="D720" s="558"/>
      <c r="E720" s="573" t="s">
        <v>1412</v>
      </c>
      <c r="F720" s="575" t="s">
        <v>1423</v>
      </c>
      <c r="G720" s="549" t="s">
        <v>1424</v>
      </c>
      <c r="H720" s="575">
        <v>181143998</v>
      </c>
      <c r="I720" s="575" t="s">
        <v>318</v>
      </c>
      <c r="J720" s="575" t="s">
        <v>1415</v>
      </c>
      <c r="K720" s="580">
        <v>102400</v>
      </c>
      <c r="L720" s="580">
        <v>50.130299999999998</v>
      </c>
      <c r="M720" s="552">
        <f t="shared" si="60"/>
        <v>2042.6767843001139</v>
      </c>
      <c r="N720" s="526">
        <v>60</v>
      </c>
      <c r="O720" s="563">
        <f t="shared" si="56"/>
        <v>1706.6666666666667</v>
      </c>
      <c r="P720" s="564">
        <f t="shared" ca="1" si="57"/>
        <v>80</v>
      </c>
      <c r="Q720" s="552">
        <f t="shared" ca="1" si="58"/>
        <v>-34133.333333333343</v>
      </c>
      <c r="R720" s="563">
        <f t="shared" ca="1" si="59"/>
        <v>1</v>
      </c>
      <c r="S720" s="573" t="s">
        <v>1422</v>
      </c>
    </row>
    <row r="721" spans="2:19" ht="60" customHeight="1" x14ac:dyDescent="0.25">
      <c r="B721" s="860">
        <v>43446</v>
      </c>
      <c r="C721" s="558" t="s">
        <v>2349</v>
      </c>
      <c r="D721" s="558"/>
      <c r="E721" s="575" t="s">
        <v>1412</v>
      </c>
      <c r="F721" s="575" t="s">
        <v>1449</v>
      </c>
      <c r="G721" s="549" t="s">
        <v>1450</v>
      </c>
      <c r="H721" s="575" t="s">
        <v>28</v>
      </c>
      <c r="I721" s="575" t="s">
        <v>1443</v>
      </c>
      <c r="J721" s="575" t="s">
        <v>1444</v>
      </c>
      <c r="K721" s="580">
        <v>73080</v>
      </c>
      <c r="L721" s="580">
        <v>50.130299999999998</v>
      </c>
      <c r="M721" s="581">
        <v>1457.8009706704329</v>
      </c>
      <c r="N721" s="526">
        <v>60</v>
      </c>
      <c r="O721" s="563">
        <f t="shared" si="56"/>
        <v>1218</v>
      </c>
      <c r="P721" s="564">
        <f t="shared" ca="1" si="57"/>
        <v>80</v>
      </c>
      <c r="Q721" s="552">
        <f t="shared" ca="1" si="58"/>
        <v>-24360</v>
      </c>
      <c r="R721" s="563">
        <f t="shared" ca="1" si="59"/>
        <v>1</v>
      </c>
      <c r="S721" s="573" t="s">
        <v>1427</v>
      </c>
    </row>
    <row r="722" spans="2:19" ht="60" customHeight="1" x14ac:dyDescent="0.25">
      <c r="B722" s="860">
        <v>43446</v>
      </c>
      <c r="C722" s="558" t="s">
        <v>2349</v>
      </c>
      <c r="D722" s="558"/>
      <c r="E722" s="573" t="s">
        <v>1412</v>
      </c>
      <c r="F722" s="575" t="s">
        <v>1481</v>
      </c>
      <c r="G722" s="549" t="s">
        <v>1450</v>
      </c>
      <c r="H722" s="575">
        <v>2018111447</v>
      </c>
      <c r="I722" s="575" t="s">
        <v>45</v>
      </c>
      <c r="J722" s="575" t="s">
        <v>837</v>
      </c>
      <c r="K722" s="580">
        <v>73080</v>
      </c>
      <c r="L722" s="580">
        <v>50.130299999999998</v>
      </c>
      <c r="M722" s="552">
        <f>+K722/L722</f>
        <v>1457.8009706704329</v>
      </c>
      <c r="N722" s="526">
        <v>60</v>
      </c>
      <c r="O722" s="563">
        <f t="shared" si="56"/>
        <v>1218</v>
      </c>
      <c r="P722" s="564">
        <f t="shared" ca="1" si="57"/>
        <v>80</v>
      </c>
      <c r="Q722" s="552">
        <f t="shared" ca="1" si="58"/>
        <v>-24360</v>
      </c>
      <c r="R722" s="563">
        <f t="shared" ca="1" si="59"/>
        <v>1</v>
      </c>
      <c r="S722" s="573" t="s">
        <v>1427</v>
      </c>
    </row>
    <row r="723" spans="2:19" ht="60" customHeight="1" x14ac:dyDescent="0.25">
      <c r="B723" s="860">
        <v>43446</v>
      </c>
      <c r="C723" s="558" t="s">
        <v>2349</v>
      </c>
      <c r="D723" s="558"/>
      <c r="E723" s="573" t="s">
        <v>1412</v>
      </c>
      <c r="F723" s="575" t="s">
        <v>1524</v>
      </c>
      <c r="G723" s="549" t="s">
        <v>1450</v>
      </c>
      <c r="H723" s="575" t="s">
        <v>1525</v>
      </c>
      <c r="I723" s="575" t="s">
        <v>23</v>
      </c>
      <c r="J723" s="575" t="s">
        <v>1512</v>
      </c>
      <c r="K723" s="580">
        <v>73080</v>
      </c>
      <c r="L723" s="580">
        <v>50.130299999999998</v>
      </c>
      <c r="M723" s="552">
        <f>+K723/L723</f>
        <v>1457.8009706704329</v>
      </c>
      <c r="N723" s="526">
        <v>60</v>
      </c>
      <c r="O723" s="563">
        <f t="shared" si="56"/>
        <v>1218</v>
      </c>
      <c r="P723" s="564">
        <f t="shared" ca="1" si="57"/>
        <v>80</v>
      </c>
      <c r="Q723" s="552">
        <f t="shared" ca="1" si="58"/>
        <v>-24360</v>
      </c>
      <c r="R723" s="563">
        <f t="shared" ca="1" si="59"/>
        <v>1</v>
      </c>
      <c r="S723" s="573" t="s">
        <v>1427</v>
      </c>
    </row>
    <row r="724" spans="2:19" ht="60" customHeight="1" x14ac:dyDescent="0.25">
      <c r="B724" s="860">
        <v>43446</v>
      </c>
      <c r="C724" s="558" t="s">
        <v>2349</v>
      </c>
      <c r="D724" s="558"/>
      <c r="E724" s="575" t="s">
        <v>1412</v>
      </c>
      <c r="F724" s="575" t="s">
        <v>1441</v>
      </c>
      <c r="G724" s="549" t="s">
        <v>1442</v>
      </c>
      <c r="H724" s="575" t="s">
        <v>28</v>
      </c>
      <c r="I724" s="575" t="s">
        <v>1443</v>
      </c>
      <c r="J724" s="575" t="s">
        <v>1444</v>
      </c>
      <c r="K724" s="580">
        <v>14616</v>
      </c>
      <c r="L724" s="580">
        <v>50.130299999999998</v>
      </c>
      <c r="M724" s="581">
        <v>291.5601941340866</v>
      </c>
      <c r="N724" s="526">
        <v>60</v>
      </c>
      <c r="O724" s="563">
        <f t="shared" si="56"/>
        <v>243.6</v>
      </c>
      <c r="P724" s="564">
        <f t="shared" ca="1" si="57"/>
        <v>80</v>
      </c>
      <c r="Q724" s="552">
        <f t="shared" ca="1" si="58"/>
        <v>-4872</v>
      </c>
      <c r="R724" s="563">
        <f t="shared" ca="1" si="59"/>
        <v>1</v>
      </c>
      <c r="S724" s="573" t="s">
        <v>1427</v>
      </c>
    </row>
    <row r="725" spans="2:19" ht="60" customHeight="1" x14ac:dyDescent="0.25">
      <c r="B725" s="860">
        <v>43446</v>
      </c>
      <c r="C725" s="558" t="s">
        <v>2349</v>
      </c>
      <c r="D725" s="558"/>
      <c r="E725" s="575" t="s">
        <v>1412</v>
      </c>
      <c r="F725" s="575" t="s">
        <v>1445</v>
      </c>
      <c r="G725" s="549" t="s">
        <v>1442</v>
      </c>
      <c r="H725" s="575" t="s">
        <v>28</v>
      </c>
      <c r="I725" s="575" t="s">
        <v>1443</v>
      </c>
      <c r="J725" s="575" t="s">
        <v>1444</v>
      </c>
      <c r="K725" s="580">
        <v>15080</v>
      </c>
      <c r="L725" s="580">
        <v>50.130299999999998</v>
      </c>
      <c r="M725" s="581">
        <v>300.81607331294646</v>
      </c>
      <c r="N725" s="526">
        <v>60</v>
      </c>
      <c r="O725" s="563">
        <f t="shared" si="56"/>
        <v>251.33333333333334</v>
      </c>
      <c r="P725" s="564">
        <f t="shared" ca="1" si="57"/>
        <v>80</v>
      </c>
      <c r="Q725" s="552">
        <f t="shared" ca="1" si="58"/>
        <v>-5026.6666666666679</v>
      </c>
      <c r="R725" s="563">
        <f t="shared" ca="1" si="59"/>
        <v>1</v>
      </c>
      <c r="S725" s="573" t="s">
        <v>1427</v>
      </c>
    </row>
    <row r="726" spans="2:19" ht="60" customHeight="1" x14ac:dyDescent="0.25">
      <c r="B726" s="860">
        <v>43446</v>
      </c>
      <c r="C726" s="558" t="s">
        <v>2349</v>
      </c>
      <c r="D726" s="558"/>
      <c r="E726" s="573" t="s">
        <v>1412</v>
      </c>
      <c r="F726" s="575" t="s">
        <v>1478</v>
      </c>
      <c r="G726" s="549" t="s">
        <v>1442</v>
      </c>
      <c r="H726" s="575" t="s">
        <v>1479</v>
      </c>
      <c r="I726" s="575" t="s">
        <v>45</v>
      </c>
      <c r="J726" s="575" t="s">
        <v>837</v>
      </c>
      <c r="K726" s="580">
        <v>14616</v>
      </c>
      <c r="L726" s="580">
        <v>50.130299999999998</v>
      </c>
      <c r="M726" s="552">
        <f t="shared" ref="M726:M746" si="61">+K726/L726</f>
        <v>291.5601941340866</v>
      </c>
      <c r="N726" s="526">
        <v>60</v>
      </c>
      <c r="O726" s="563">
        <f t="shared" si="56"/>
        <v>243.6</v>
      </c>
      <c r="P726" s="564">
        <f t="shared" ca="1" si="57"/>
        <v>80</v>
      </c>
      <c r="Q726" s="552">
        <f t="shared" ca="1" si="58"/>
        <v>-4872</v>
      </c>
      <c r="R726" s="563">
        <f t="shared" ca="1" si="59"/>
        <v>1</v>
      </c>
      <c r="S726" s="573" t="s">
        <v>1427</v>
      </c>
    </row>
    <row r="727" spans="2:19" ht="72" customHeight="1" x14ac:dyDescent="0.25">
      <c r="B727" s="860">
        <v>43446</v>
      </c>
      <c r="C727" s="558" t="s">
        <v>2349</v>
      </c>
      <c r="D727" s="558"/>
      <c r="E727" s="573" t="s">
        <v>1412</v>
      </c>
      <c r="F727" s="575" t="s">
        <v>1518</v>
      </c>
      <c r="G727" s="549" t="s">
        <v>1442</v>
      </c>
      <c r="H727" s="575" t="s">
        <v>28</v>
      </c>
      <c r="I727" s="575" t="s">
        <v>23</v>
      </c>
      <c r="J727" s="575" t="s">
        <v>1512</v>
      </c>
      <c r="K727" s="580">
        <v>15080</v>
      </c>
      <c r="L727" s="580">
        <v>50.130299999999998</v>
      </c>
      <c r="M727" s="552">
        <f t="shared" si="61"/>
        <v>300.81607331294646</v>
      </c>
      <c r="N727" s="526">
        <v>60</v>
      </c>
      <c r="O727" s="563">
        <f t="shared" si="56"/>
        <v>251.33333333333334</v>
      </c>
      <c r="P727" s="564">
        <f t="shared" ca="1" si="57"/>
        <v>80</v>
      </c>
      <c r="Q727" s="552">
        <f t="shared" ca="1" si="58"/>
        <v>-5026.6666666666679</v>
      </c>
      <c r="R727" s="563">
        <f t="shared" ca="1" si="59"/>
        <v>1</v>
      </c>
      <c r="S727" s="573" t="s">
        <v>1427</v>
      </c>
    </row>
    <row r="728" spans="2:19" ht="45" customHeight="1" x14ac:dyDescent="0.25">
      <c r="B728" s="860">
        <v>43446</v>
      </c>
      <c r="C728" s="558" t="s">
        <v>2349</v>
      </c>
      <c r="D728" s="558"/>
      <c r="E728" s="573" t="s">
        <v>1412</v>
      </c>
      <c r="F728" s="575" t="s">
        <v>1580</v>
      </c>
      <c r="G728" s="549" t="s">
        <v>1442</v>
      </c>
      <c r="H728" s="575" t="s">
        <v>28</v>
      </c>
      <c r="I728" s="575" t="s">
        <v>23</v>
      </c>
      <c r="J728" s="575" t="s">
        <v>1512</v>
      </c>
      <c r="K728" s="580">
        <v>14616</v>
      </c>
      <c r="L728" s="580">
        <v>50.130299999999998</v>
      </c>
      <c r="M728" s="552">
        <f t="shared" si="61"/>
        <v>291.5601941340866</v>
      </c>
      <c r="N728" s="526">
        <v>60</v>
      </c>
      <c r="O728" s="563">
        <f t="shared" si="56"/>
        <v>243.6</v>
      </c>
      <c r="P728" s="564">
        <f t="shared" ca="1" si="57"/>
        <v>80</v>
      </c>
      <c r="Q728" s="552">
        <f t="shared" ca="1" si="58"/>
        <v>-4872</v>
      </c>
      <c r="R728" s="563">
        <f t="shared" ca="1" si="59"/>
        <v>1</v>
      </c>
      <c r="S728" s="573" t="s">
        <v>1327</v>
      </c>
    </row>
    <row r="729" spans="2:19" ht="54.95" customHeight="1" x14ac:dyDescent="0.25">
      <c r="B729" s="860">
        <v>43446</v>
      </c>
      <c r="C729" s="558" t="s">
        <v>2349</v>
      </c>
      <c r="D729" s="558"/>
      <c r="E729" s="573" t="s">
        <v>1412</v>
      </c>
      <c r="F729" s="575" t="s">
        <v>1433</v>
      </c>
      <c r="G729" s="549" t="s">
        <v>1434</v>
      </c>
      <c r="H729" s="575">
        <v>172205787</v>
      </c>
      <c r="I729" s="575" t="s">
        <v>318</v>
      </c>
      <c r="J729" s="575" t="s">
        <v>1415</v>
      </c>
      <c r="K729" s="580">
        <v>13608</v>
      </c>
      <c r="L729" s="580">
        <v>50.130299999999998</v>
      </c>
      <c r="M729" s="552">
        <f t="shared" si="61"/>
        <v>271.45259453863235</v>
      </c>
      <c r="N729" s="526">
        <v>60</v>
      </c>
      <c r="O729" s="563">
        <f t="shared" si="56"/>
        <v>226.8</v>
      </c>
      <c r="P729" s="564">
        <f t="shared" ca="1" si="57"/>
        <v>80</v>
      </c>
      <c r="Q729" s="552">
        <f t="shared" ca="1" si="58"/>
        <v>-4536</v>
      </c>
      <c r="R729" s="563">
        <f t="shared" ca="1" si="59"/>
        <v>1</v>
      </c>
      <c r="S729" s="573" t="s">
        <v>1427</v>
      </c>
    </row>
    <row r="730" spans="2:19" ht="54.95" customHeight="1" x14ac:dyDescent="0.25">
      <c r="B730" s="860">
        <v>43446</v>
      </c>
      <c r="C730" s="558" t="s">
        <v>2349</v>
      </c>
      <c r="D730" s="558"/>
      <c r="E730" s="573" t="s">
        <v>1412</v>
      </c>
      <c r="F730" s="575" t="s">
        <v>1480</v>
      </c>
      <c r="G730" s="549" t="s">
        <v>1434</v>
      </c>
      <c r="H730" s="575">
        <v>172205754</v>
      </c>
      <c r="I730" s="575" t="s">
        <v>45</v>
      </c>
      <c r="J730" s="575" t="s">
        <v>837</v>
      </c>
      <c r="K730" s="580">
        <v>13608</v>
      </c>
      <c r="L730" s="580">
        <v>50.130299999999998</v>
      </c>
      <c r="M730" s="552">
        <f t="shared" si="61"/>
        <v>271.45259453863235</v>
      </c>
      <c r="N730" s="526">
        <v>60</v>
      </c>
      <c r="O730" s="563">
        <f t="shared" si="56"/>
        <v>226.8</v>
      </c>
      <c r="P730" s="564">
        <f t="shared" ca="1" si="57"/>
        <v>80</v>
      </c>
      <c r="Q730" s="552">
        <f t="shared" ca="1" si="58"/>
        <v>-4536</v>
      </c>
      <c r="R730" s="563">
        <f t="shared" ca="1" si="59"/>
        <v>1</v>
      </c>
      <c r="S730" s="573" t="s">
        <v>1427</v>
      </c>
    </row>
    <row r="731" spans="2:19" ht="54.95" customHeight="1" x14ac:dyDescent="0.25">
      <c r="B731" s="860">
        <v>43446</v>
      </c>
      <c r="C731" s="558" t="s">
        <v>2349</v>
      </c>
      <c r="D731" s="558"/>
      <c r="E731" s="573" t="s">
        <v>1412</v>
      </c>
      <c r="F731" s="575" t="s">
        <v>1519</v>
      </c>
      <c r="G731" s="549" t="s">
        <v>1434</v>
      </c>
      <c r="H731" s="575" t="s">
        <v>28</v>
      </c>
      <c r="I731" s="575" t="s">
        <v>23</v>
      </c>
      <c r="J731" s="575" t="s">
        <v>1512</v>
      </c>
      <c r="K731" s="580">
        <v>23920</v>
      </c>
      <c r="L731" s="580">
        <v>50.130299999999998</v>
      </c>
      <c r="M731" s="552">
        <f t="shared" si="61"/>
        <v>477.15653008260477</v>
      </c>
      <c r="N731" s="526">
        <v>60</v>
      </c>
      <c r="O731" s="563">
        <f t="shared" si="56"/>
        <v>398.66666666666669</v>
      </c>
      <c r="P731" s="564">
        <f t="shared" ca="1" si="57"/>
        <v>80</v>
      </c>
      <c r="Q731" s="552">
        <f t="shared" ca="1" si="58"/>
        <v>-7973.3333333333358</v>
      </c>
      <c r="R731" s="563">
        <f t="shared" ca="1" si="59"/>
        <v>1</v>
      </c>
      <c r="S731" s="573" t="s">
        <v>1427</v>
      </c>
    </row>
    <row r="732" spans="2:19" ht="54.95" customHeight="1" x14ac:dyDescent="0.25">
      <c r="B732" s="860">
        <v>43446</v>
      </c>
      <c r="C732" s="558" t="s">
        <v>2349</v>
      </c>
      <c r="D732" s="558"/>
      <c r="E732" s="573" t="s">
        <v>1412</v>
      </c>
      <c r="F732" s="575" t="s">
        <v>1498</v>
      </c>
      <c r="G732" s="549" t="s">
        <v>1499</v>
      </c>
      <c r="H732" s="575" t="s">
        <v>1500</v>
      </c>
      <c r="I732" s="575" t="s">
        <v>45</v>
      </c>
      <c r="J732" s="575" t="s">
        <v>837</v>
      </c>
      <c r="K732" s="580">
        <v>14152.54</v>
      </c>
      <c r="L732" s="580">
        <v>50.130299999999998</v>
      </c>
      <c r="M732" s="552">
        <f t="shared" si="61"/>
        <v>282.31508688358139</v>
      </c>
      <c r="N732" s="526">
        <v>60</v>
      </c>
      <c r="O732" s="563">
        <f t="shared" si="56"/>
        <v>235.87566666666669</v>
      </c>
      <c r="P732" s="564">
        <f t="shared" ca="1" si="57"/>
        <v>80</v>
      </c>
      <c r="Q732" s="552">
        <f t="shared" ca="1" si="58"/>
        <v>-4717.513333333336</v>
      </c>
      <c r="R732" s="563">
        <f t="shared" ca="1" si="59"/>
        <v>1</v>
      </c>
      <c r="S732" s="573" t="s">
        <v>1427</v>
      </c>
    </row>
    <row r="733" spans="2:19" ht="54.95" customHeight="1" x14ac:dyDescent="0.25">
      <c r="B733" s="860">
        <v>43446</v>
      </c>
      <c r="C733" s="558" t="s">
        <v>2349</v>
      </c>
      <c r="D733" s="558"/>
      <c r="E733" s="573" t="s">
        <v>1412</v>
      </c>
      <c r="F733" s="575" t="s">
        <v>1541</v>
      </c>
      <c r="G733" s="549" t="s">
        <v>1499</v>
      </c>
      <c r="H733" s="575" t="s">
        <v>1542</v>
      </c>
      <c r="I733" s="575" t="s">
        <v>23</v>
      </c>
      <c r="J733" s="575" t="s">
        <v>1512</v>
      </c>
      <c r="K733" s="580">
        <v>14152.54</v>
      </c>
      <c r="L733" s="580">
        <v>50.130299999999998</v>
      </c>
      <c r="M733" s="552">
        <f t="shared" si="61"/>
        <v>282.31508688358139</v>
      </c>
      <c r="N733" s="526">
        <v>60</v>
      </c>
      <c r="O733" s="563">
        <f t="shared" si="56"/>
        <v>235.87566666666669</v>
      </c>
      <c r="P733" s="564">
        <f t="shared" ca="1" si="57"/>
        <v>80</v>
      </c>
      <c r="Q733" s="552">
        <f t="shared" ca="1" si="58"/>
        <v>-4717.513333333336</v>
      </c>
      <c r="R733" s="563">
        <f t="shared" ca="1" si="59"/>
        <v>1</v>
      </c>
      <c r="S733" s="573" t="s">
        <v>1327</v>
      </c>
    </row>
    <row r="734" spans="2:19" ht="54.95" customHeight="1" x14ac:dyDescent="0.25">
      <c r="B734" s="860">
        <v>43446</v>
      </c>
      <c r="C734" s="558" t="s">
        <v>2349</v>
      </c>
      <c r="D734" s="558"/>
      <c r="E734" s="573" t="s">
        <v>1412</v>
      </c>
      <c r="F734" s="575" t="s">
        <v>1543</v>
      </c>
      <c r="G734" s="549" t="s">
        <v>1499</v>
      </c>
      <c r="H734" s="575" t="s">
        <v>1544</v>
      </c>
      <c r="I734" s="575" t="s">
        <v>23</v>
      </c>
      <c r="J734" s="548" t="s">
        <v>737</v>
      </c>
      <c r="K734" s="580">
        <v>14152.54</v>
      </c>
      <c r="L734" s="580">
        <v>50.130299999999998</v>
      </c>
      <c r="M734" s="552">
        <f t="shared" si="61"/>
        <v>282.31508688358139</v>
      </c>
      <c r="N734" s="526">
        <v>60</v>
      </c>
      <c r="O734" s="563">
        <f t="shared" si="56"/>
        <v>235.87566666666669</v>
      </c>
      <c r="P734" s="564">
        <f t="shared" ca="1" si="57"/>
        <v>80</v>
      </c>
      <c r="Q734" s="552">
        <f t="shared" ca="1" si="58"/>
        <v>-4717.513333333336</v>
      </c>
      <c r="R734" s="563">
        <f t="shared" ca="1" si="59"/>
        <v>1</v>
      </c>
      <c r="S734" s="573" t="s">
        <v>1327</v>
      </c>
    </row>
    <row r="735" spans="2:19" ht="54.95" customHeight="1" x14ac:dyDescent="0.25">
      <c r="B735" s="860">
        <v>43446</v>
      </c>
      <c r="C735" s="558" t="s">
        <v>2349</v>
      </c>
      <c r="D735" s="558"/>
      <c r="E735" s="573" t="s">
        <v>1412</v>
      </c>
      <c r="F735" s="575" t="s">
        <v>1554</v>
      </c>
      <c r="G735" s="549" t="s">
        <v>1499</v>
      </c>
      <c r="H735" s="575" t="s">
        <v>1555</v>
      </c>
      <c r="I735" s="575" t="s">
        <v>1556</v>
      </c>
      <c r="J735" s="575" t="s">
        <v>1547</v>
      </c>
      <c r="K735" s="580">
        <v>14152.54</v>
      </c>
      <c r="L735" s="580">
        <v>50.130299999999998</v>
      </c>
      <c r="M735" s="552">
        <f t="shared" si="61"/>
        <v>282.31508688358139</v>
      </c>
      <c r="N735" s="526">
        <v>60</v>
      </c>
      <c r="O735" s="563">
        <f t="shared" si="56"/>
        <v>235.87566666666669</v>
      </c>
      <c r="P735" s="564">
        <f t="shared" ca="1" si="57"/>
        <v>80</v>
      </c>
      <c r="Q735" s="552">
        <f t="shared" ca="1" si="58"/>
        <v>-4717.513333333336</v>
      </c>
      <c r="R735" s="563">
        <f t="shared" ca="1" si="59"/>
        <v>1</v>
      </c>
      <c r="S735" s="573" t="s">
        <v>1327</v>
      </c>
    </row>
    <row r="736" spans="2:19" ht="54.95" customHeight="1" x14ac:dyDescent="0.25">
      <c r="B736" s="860">
        <v>43446</v>
      </c>
      <c r="C736" s="558" t="s">
        <v>2349</v>
      </c>
      <c r="D736" s="558"/>
      <c r="E736" s="573" t="s">
        <v>1412</v>
      </c>
      <c r="F736" s="575" t="s">
        <v>1559</v>
      </c>
      <c r="G736" s="549" t="s">
        <v>1499</v>
      </c>
      <c r="H736" s="575" t="s">
        <v>28</v>
      </c>
      <c r="I736" s="575" t="s">
        <v>318</v>
      </c>
      <c r="J736" s="575" t="s">
        <v>1415</v>
      </c>
      <c r="K736" s="580">
        <v>14152.54</v>
      </c>
      <c r="L736" s="580">
        <v>50.130299999999998</v>
      </c>
      <c r="M736" s="552">
        <f t="shared" si="61"/>
        <v>282.31508688358139</v>
      </c>
      <c r="N736" s="526">
        <v>60</v>
      </c>
      <c r="O736" s="563">
        <f t="shared" si="56"/>
        <v>235.87566666666669</v>
      </c>
      <c r="P736" s="564">
        <f t="shared" ca="1" si="57"/>
        <v>80</v>
      </c>
      <c r="Q736" s="552">
        <f t="shared" ca="1" si="58"/>
        <v>-4717.513333333336</v>
      </c>
      <c r="R736" s="563">
        <f t="shared" ca="1" si="59"/>
        <v>1</v>
      </c>
      <c r="S736" s="573" t="s">
        <v>1327</v>
      </c>
    </row>
    <row r="737" spans="2:19" ht="54.95" customHeight="1" x14ac:dyDescent="0.25">
      <c r="B737" s="860">
        <v>43446</v>
      </c>
      <c r="C737" s="558" t="s">
        <v>2349</v>
      </c>
      <c r="D737" s="558"/>
      <c r="E737" s="573" t="s">
        <v>1412</v>
      </c>
      <c r="F737" s="575" t="s">
        <v>1565</v>
      </c>
      <c r="G737" s="549" t="s">
        <v>1499</v>
      </c>
      <c r="H737" s="575" t="s">
        <v>28</v>
      </c>
      <c r="I737" s="575" t="s">
        <v>1561</v>
      </c>
      <c r="J737" s="575" t="s">
        <v>1562</v>
      </c>
      <c r="K737" s="580">
        <v>14152.54</v>
      </c>
      <c r="L737" s="580">
        <v>50.130299999999998</v>
      </c>
      <c r="M737" s="552">
        <f t="shared" si="61"/>
        <v>282.31508688358139</v>
      </c>
      <c r="N737" s="526">
        <v>60</v>
      </c>
      <c r="O737" s="563">
        <f t="shared" si="56"/>
        <v>235.87566666666669</v>
      </c>
      <c r="P737" s="564">
        <f t="shared" ca="1" si="57"/>
        <v>80</v>
      </c>
      <c r="Q737" s="552">
        <f t="shared" ca="1" si="58"/>
        <v>-4717.513333333336</v>
      </c>
      <c r="R737" s="563">
        <f t="shared" ca="1" si="59"/>
        <v>1</v>
      </c>
      <c r="S737" s="573" t="s">
        <v>1327</v>
      </c>
    </row>
    <row r="738" spans="2:19" ht="54.95" customHeight="1" x14ac:dyDescent="0.25">
      <c r="B738" s="860">
        <v>43446</v>
      </c>
      <c r="C738" s="558" t="s">
        <v>2349</v>
      </c>
      <c r="D738" s="558"/>
      <c r="E738" s="573" t="s">
        <v>1412</v>
      </c>
      <c r="F738" s="575" t="s">
        <v>1566</v>
      </c>
      <c r="G738" s="549" t="s">
        <v>1499</v>
      </c>
      <c r="H738" s="575" t="s">
        <v>28</v>
      </c>
      <c r="I738" s="575" t="s">
        <v>1561</v>
      </c>
      <c r="J738" s="575" t="s">
        <v>1562</v>
      </c>
      <c r="K738" s="580">
        <v>14152.54</v>
      </c>
      <c r="L738" s="580">
        <v>50.130299999999998</v>
      </c>
      <c r="M738" s="552">
        <f t="shared" si="61"/>
        <v>282.31508688358139</v>
      </c>
      <c r="N738" s="526">
        <v>60</v>
      </c>
      <c r="O738" s="563">
        <f t="shared" si="56"/>
        <v>235.87566666666669</v>
      </c>
      <c r="P738" s="564">
        <f t="shared" ca="1" si="57"/>
        <v>80</v>
      </c>
      <c r="Q738" s="552">
        <f t="shared" ca="1" si="58"/>
        <v>-4717.513333333336</v>
      </c>
      <c r="R738" s="563">
        <f t="shared" ca="1" si="59"/>
        <v>1</v>
      </c>
      <c r="S738" s="573" t="s">
        <v>1327</v>
      </c>
    </row>
    <row r="739" spans="2:19" ht="54.95" customHeight="1" x14ac:dyDescent="0.25">
      <c r="B739" s="860">
        <v>43446</v>
      </c>
      <c r="C739" s="558" t="s">
        <v>2349</v>
      </c>
      <c r="D739" s="558"/>
      <c r="E739" s="573" t="s">
        <v>1412</v>
      </c>
      <c r="F739" s="575" t="s">
        <v>1567</v>
      </c>
      <c r="G739" s="549" t="s">
        <v>1499</v>
      </c>
      <c r="H739" s="575" t="s">
        <v>28</v>
      </c>
      <c r="I739" s="575" t="s">
        <v>1561</v>
      </c>
      <c r="J739" s="575" t="s">
        <v>1562</v>
      </c>
      <c r="K739" s="580">
        <v>14152.54</v>
      </c>
      <c r="L739" s="580">
        <v>50.130299999999998</v>
      </c>
      <c r="M739" s="552">
        <f t="shared" si="61"/>
        <v>282.31508688358139</v>
      </c>
      <c r="N739" s="526">
        <v>60</v>
      </c>
      <c r="O739" s="563">
        <f t="shared" si="56"/>
        <v>235.87566666666669</v>
      </c>
      <c r="P739" s="564">
        <f t="shared" ca="1" si="57"/>
        <v>80</v>
      </c>
      <c r="Q739" s="552">
        <f t="shared" ca="1" si="58"/>
        <v>-4717.513333333336</v>
      </c>
      <c r="R739" s="563">
        <f t="shared" ca="1" si="59"/>
        <v>1</v>
      </c>
      <c r="S739" s="573" t="s">
        <v>1327</v>
      </c>
    </row>
    <row r="740" spans="2:19" ht="54.95" customHeight="1" x14ac:dyDescent="0.25">
      <c r="B740" s="860">
        <v>43446</v>
      </c>
      <c r="C740" s="558" t="s">
        <v>2349</v>
      </c>
      <c r="D740" s="558"/>
      <c r="E740" s="573" t="s">
        <v>1412</v>
      </c>
      <c r="F740" s="575" t="s">
        <v>1570</v>
      </c>
      <c r="G740" s="549" t="s">
        <v>1499</v>
      </c>
      <c r="H740" s="575" t="s">
        <v>28</v>
      </c>
      <c r="I740" s="575" t="s">
        <v>1509</v>
      </c>
      <c r="J740" s="575" t="s">
        <v>1510</v>
      </c>
      <c r="K740" s="580">
        <v>14152.54</v>
      </c>
      <c r="L740" s="580">
        <v>50.130299999999998</v>
      </c>
      <c r="M740" s="552">
        <f t="shared" si="61"/>
        <v>282.31508688358139</v>
      </c>
      <c r="N740" s="526">
        <v>60</v>
      </c>
      <c r="O740" s="563">
        <f t="shared" si="56"/>
        <v>235.87566666666669</v>
      </c>
      <c r="P740" s="564">
        <f t="shared" ca="1" si="57"/>
        <v>80</v>
      </c>
      <c r="Q740" s="552">
        <f t="shared" ca="1" si="58"/>
        <v>-4717.513333333336</v>
      </c>
      <c r="R740" s="563">
        <f t="shared" ca="1" si="59"/>
        <v>1</v>
      </c>
      <c r="S740" s="573" t="s">
        <v>1327</v>
      </c>
    </row>
    <row r="741" spans="2:19" ht="54.95" customHeight="1" x14ac:dyDescent="0.25">
      <c r="B741" s="860">
        <v>43446</v>
      </c>
      <c r="C741" s="558" t="s">
        <v>2349</v>
      </c>
      <c r="D741" s="558"/>
      <c r="E741" s="573" t="s">
        <v>1412</v>
      </c>
      <c r="F741" s="575" t="s">
        <v>1571</v>
      </c>
      <c r="G741" s="549" t="s">
        <v>1499</v>
      </c>
      <c r="H741" s="575" t="s">
        <v>28</v>
      </c>
      <c r="I741" s="575" t="s">
        <v>1509</v>
      </c>
      <c r="J741" s="575" t="s">
        <v>1510</v>
      </c>
      <c r="K741" s="580">
        <v>14152.54</v>
      </c>
      <c r="L741" s="580">
        <v>50.130299999999998</v>
      </c>
      <c r="M741" s="552">
        <f t="shared" si="61"/>
        <v>282.31508688358139</v>
      </c>
      <c r="N741" s="526">
        <v>60</v>
      </c>
      <c r="O741" s="563">
        <f t="shared" si="56"/>
        <v>235.87566666666669</v>
      </c>
      <c r="P741" s="564">
        <f t="shared" ca="1" si="57"/>
        <v>80</v>
      </c>
      <c r="Q741" s="552">
        <f t="shared" ca="1" si="58"/>
        <v>-4717.513333333336</v>
      </c>
      <c r="R741" s="563">
        <f t="shared" ca="1" si="59"/>
        <v>1</v>
      </c>
      <c r="S741" s="573" t="s">
        <v>1327</v>
      </c>
    </row>
    <row r="742" spans="2:19" ht="54.95" customHeight="1" x14ac:dyDescent="0.25">
      <c r="B742" s="860">
        <v>43446</v>
      </c>
      <c r="C742" s="558" t="s">
        <v>2349</v>
      </c>
      <c r="D742" s="558"/>
      <c r="E742" s="573" t="s">
        <v>1412</v>
      </c>
      <c r="F742" s="575" t="s">
        <v>1504</v>
      </c>
      <c r="G742" s="549" t="s">
        <v>1505</v>
      </c>
      <c r="H742" s="575" t="s">
        <v>1506</v>
      </c>
      <c r="I742" s="575" t="s">
        <v>45</v>
      </c>
      <c r="J742" s="575" t="s">
        <v>837</v>
      </c>
      <c r="K742" s="580">
        <v>13478.81</v>
      </c>
      <c r="L742" s="580">
        <v>50.130299999999998</v>
      </c>
      <c r="M742" s="552">
        <f t="shared" si="61"/>
        <v>268.87551041984585</v>
      </c>
      <c r="N742" s="526">
        <v>60</v>
      </c>
      <c r="O742" s="563">
        <f t="shared" si="56"/>
        <v>224.64683333333332</v>
      </c>
      <c r="P742" s="564">
        <f t="shared" ca="1" si="57"/>
        <v>80</v>
      </c>
      <c r="Q742" s="552">
        <f t="shared" ca="1" si="58"/>
        <v>-4492.9366666666665</v>
      </c>
      <c r="R742" s="563">
        <f t="shared" ca="1" si="59"/>
        <v>1</v>
      </c>
      <c r="S742" s="573" t="s">
        <v>1427</v>
      </c>
    </row>
    <row r="743" spans="2:19" ht="54.95" customHeight="1" x14ac:dyDescent="0.25">
      <c r="B743" s="860">
        <v>43446</v>
      </c>
      <c r="C743" s="558" t="s">
        <v>2349</v>
      </c>
      <c r="D743" s="558"/>
      <c r="E743" s="573" t="s">
        <v>1412</v>
      </c>
      <c r="F743" s="575" t="s">
        <v>1552</v>
      </c>
      <c r="G743" s="549" t="s">
        <v>1505</v>
      </c>
      <c r="H743" s="575" t="s">
        <v>1553</v>
      </c>
      <c r="I743" s="575" t="s">
        <v>23</v>
      </c>
      <c r="J743" s="575" t="s">
        <v>1512</v>
      </c>
      <c r="K743" s="580">
        <v>13478.81</v>
      </c>
      <c r="L743" s="580">
        <v>50.130299999999998</v>
      </c>
      <c r="M743" s="552">
        <f t="shared" si="61"/>
        <v>268.87551041984585</v>
      </c>
      <c r="N743" s="526">
        <v>60</v>
      </c>
      <c r="O743" s="563">
        <f t="shared" si="56"/>
        <v>224.64683333333332</v>
      </c>
      <c r="P743" s="564">
        <f t="shared" ca="1" si="57"/>
        <v>80</v>
      </c>
      <c r="Q743" s="552">
        <f t="shared" ca="1" si="58"/>
        <v>-4492.9366666666665</v>
      </c>
      <c r="R743" s="563">
        <f t="shared" ca="1" si="59"/>
        <v>1</v>
      </c>
      <c r="S743" s="573" t="s">
        <v>1327</v>
      </c>
    </row>
    <row r="744" spans="2:19" ht="54.95" customHeight="1" x14ac:dyDescent="0.25">
      <c r="B744" s="860">
        <v>43446</v>
      </c>
      <c r="C744" s="558" t="s">
        <v>2349</v>
      </c>
      <c r="D744" s="558"/>
      <c r="E744" s="573" t="s">
        <v>1412</v>
      </c>
      <c r="F744" s="575" t="s">
        <v>1557</v>
      </c>
      <c r="G744" s="549" t="s">
        <v>1505</v>
      </c>
      <c r="H744" s="575" t="s">
        <v>1558</v>
      </c>
      <c r="I744" s="575" t="s">
        <v>1556</v>
      </c>
      <c r="J744" s="575" t="s">
        <v>1547</v>
      </c>
      <c r="K744" s="580">
        <v>13478.81</v>
      </c>
      <c r="L744" s="580">
        <v>50.130299999999998</v>
      </c>
      <c r="M744" s="552">
        <f t="shared" si="61"/>
        <v>268.87551041984585</v>
      </c>
      <c r="N744" s="526">
        <v>60</v>
      </c>
      <c r="O744" s="563">
        <f t="shared" si="56"/>
        <v>224.64683333333332</v>
      </c>
      <c r="P744" s="564">
        <f t="shared" ca="1" si="57"/>
        <v>80</v>
      </c>
      <c r="Q744" s="552">
        <f t="shared" ca="1" si="58"/>
        <v>-4492.9366666666665</v>
      </c>
      <c r="R744" s="563">
        <f t="shared" ca="1" si="59"/>
        <v>1</v>
      </c>
      <c r="S744" s="573" t="s">
        <v>1327</v>
      </c>
    </row>
    <row r="745" spans="2:19" ht="54.95" customHeight="1" x14ac:dyDescent="0.25">
      <c r="B745" s="860">
        <v>43446</v>
      </c>
      <c r="C745" s="558" t="s">
        <v>2349</v>
      </c>
      <c r="D745" s="558"/>
      <c r="E745" s="573" t="s">
        <v>1412</v>
      </c>
      <c r="F745" s="575" t="s">
        <v>1568</v>
      </c>
      <c r="G745" s="549" t="s">
        <v>1505</v>
      </c>
      <c r="H745" s="575" t="s">
        <v>28</v>
      </c>
      <c r="I745" s="575" t="s">
        <v>1561</v>
      </c>
      <c r="J745" s="575" t="s">
        <v>1562</v>
      </c>
      <c r="K745" s="580">
        <v>13478.81</v>
      </c>
      <c r="L745" s="580">
        <v>50.130299999999998</v>
      </c>
      <c r="M745" s="552">
        <f t="shared" si="61"/>
        <v>268.87551041984585</v>
      </c>
      <c r="N745" s="526">
        <v>60</v>
      </c>
      <c r="O745" s="563">
        <f t="shared" si="56"/>
        <v>224.64683333333332</v>
      </c>
      <c r="P745" s="564">
        <f t="shared" ca="1" si="57"/>
        <v>80</v>
      </c>
      <c r="Q745" s="552">
        <f t="shared" ca="1" si="58"/>
        <v>-4492.9366666666665</v>
      </c>
      <c r="R745" s="563">
        <f t="shared" ca="1" si="59"/>
        <v>1</v>
      </c>
      <c r="S745" s="573" t="s">
        <v>1327</v>
      </c>
    </row>
    <row r="746" spans="2:19" ht="54.95" customHeight="1" x14ac:dyDescent="0.25">
      <c r="B746" s="860">
        <v>43446</v>
      </c>
      <c r="C746" s="558" t="s">
        <v>2349</v>
      </c>
      <c r="D746" s="558"/>
      <c r="E746" s="573" t="s">
        <v>1412</v>
      </c>
      <c r="F746" s="575" t="s">
        <v>1572</v>
      </c>
      <c r="G746" s="549" t="s">
        <v>1505</v>
      </c>
      <c r="H746" s="575" t="s">
        <v>28</v>
      </c>
      <c r="I746" s="575" t="s">
        <v>1509</v>
      </c>
      <c r="J746" s="575" t="s">
        <v>1510</v>
      </c>
      <c r="K746" s="580">
        <v>13478.81</v>
      </c>
      <c r="L746" s="580">
        <v>50.130299999999998</v>
      </c>
      <c r="M746" s="552">
        <f t="shared" si="61"/>
        <v>268.87551041984585</v>
      </c>
      <c r="N746" s="526">
        <v>60</v>
      </c>
      <c r="O746" s="563">
        <f t="shared" si="56"/>
        <v>224.64683333333332</v>
      </c>
      <c r="P746" s="564">
        <f t="shared" ca="1" si="57"/>
        <v>80</v>
      </c>
      <c r="Q746" s="552">
        <f t="shared" ca="1" si="58"/>
        <v>-4492.9366666666665</v>
      </c>
      <c r="R746" s="563">
        <f t="shared" ca="1" si="59"/>
        <v>1</v>
      </c>
      <c r="S746" s="573" t="s">
        <v>1327</v>
      </c>
    </row>
    <row r="747" spans="2:19" ht="54.95" customHeight="1" x14ac:dyDescent="0.25">
      <c r="B747" s="860">
        <v>43446</v>
      </c>
      <c r="C747" s="558" t="s">
        <v>2349</v>
      </c>
      <c r="D747" s="558"/>
      <c r="E747" s="575" t="s">
        <v>1412</v>
      </c>
      <c r="F747" s="575" t="s">
        <v>1463</v>
      </c>
      <c r="G747" s="549" t="s">
        <v>4438</v>
      </c>
      <c r="H747" s="575" t="s">
        <v>28</v>
      </c>
      <c r="I747" s="575" t="s">
        <v>1443</v>
      </c>
      <c r="J747" s="575" t="s">
        <v>1444</v>
      </c>
      <c r="K747" s="580">
        <v>8166</v>
      </c>
      <c r="L747" s="580">
        <v>50.130299999999998</v>
      </c>
      <c r="M747" s="581">
        <v>162.8954943417454</v>
      </c>
      <c r="N747" s="526">
        <v>60</v>
      </c>
      <c r="O747" s="563">
        <f t="shared" si="56"/>
        <v>136.1</v>
      </c>
      <c r="P747" s="564">
        <f t="shared" ca="1" si="57"/>
        <v>80</v>
      </c>
      <c r="Q747" s="552">
        <f t="shared" ca="1" si="58"/>
        <v>-2722</v>
      </c>
      <c r="R747" s="563">
        <f t="shared" ca="1" si="59"/>
        <v>1</v>
      </c>
      <c r="S747" s="573" t="s">
        <v>1427</v>
      </c>
    </row>
    <row r="748" spans="2:19" ht="54.95" customHeight="1" x14ac:dyDescent="0.25">
      <c r="B748" s="860">
        <v>43446</v>
      </c>
      <c r="C748" s="558" t="s">
        <v>2349</v>
      </c>
      <c r="D748" s="558"/>
      <c r="E748" s="573" t="s">
        <v>1412</v>
      </c>
      <c r="F748" s="575" t="s">
        <v>1491</v>
      </c>
      <c r="G748" s="549" t="s">
        <v>4441</v>
      </c>
      <c r="H748" s="575" t="s">
        <v>28</v>
      </c>
      <c r="I748" s="575" t="s">
        <v>45</v>
      </c>
      <c r="J748" s="575" t="s">
        <v>837</v>
      </c>
      <c r="K748" s="580">
        <v>5444</v>
      </c>
      <c r="L748" s="580">
        <v>50.130299999999998</v>
      </c>
      <c r="M748" s="552">
        <f>+K748/L748</f>
        <v>108.59699622783027</v>
      </c>
      <c r="N748" s="526">
        <v>60</v>
      </c>
      <c r="O748" s="563">
        <f t="shared" si="56"/>
        <v>90.733333333333334</v>
      </c>
      <c r="P748" s="564">
        <f t="shared" ca="1" si="57"/>
        <v>80</v>
      </c>
      <c r="Q748" s="552">
        <f t="shared" ca="1" si="58"/>
        <v>-1814.666666666667</v>
      </c>
      <c r="R748" s="563">
        <f t="shared" ca="1" si="59"/>
        <v>1</v>
      </c>
      <c r="S748" s="573" t="s">
        <v>1427</v>
      </c>
    </row>
    <row r="749" spans="2:19" ht="54.95" customHeight="1" x14ac:dyDescent="0.25">
      <c r="B749" s="860">
        <v>43446</v>
      </c>
      <c r="C749" s="558" t="s">
        <v>2349</v>
      </c>
      <c r="D749" s="558"/>
      <c r="E749" s="573" t="s">
        <v>1412</v>
      </c>
      <c r="F749" s="575" t="s">
        <v>1534</v>
      </c>
      <c r="G749" s="549" t="s">
        <v>4445</v>
      </c>
      <c r="H749" s="575" t="s">
        <v>28</v>
      </c>
      <c r="I749" s="575" t="s">
        <v>23</v>
      </c>
      <c r="J749" s="575" t="s">
        <v>1512</v>
      </c>
      <c r="K749" s="580">
        <v>10888</v>
      </c>
      <c r="L749" s="580">
        <v>50.130299999999998</v>
      </c>
      <c r="M749" s="552">
        <f>+K749/L749</f>
        <v>217.19399245566055</v>
      </c>
      <c r="N749" s="526">
        <v>60</v>
      </c>
      <c r="O749" s="563">
        <f t="shared" si="56"/>
        <v>181.46666666666667</v>
      </c>
      <c r="P749" s="564">
        <f t="shared" ca="1" si="57"/>
        <v>80</v>
      </c>
      <c r="Q749" s="552">
        <f t="shared" ca="1" si="58"/>
        <v>-3629.3333333333339</v>
      </c>
      <c r="R749" s="563">
        <f t="shared" ca="1" si="59"/>
        <v>1</v>
      </c>
      <c r="S749" s="573" t="s">
        <v>1327</v>
      </c>
    </row>
    <row r="750" spans="2:19" ht="54.95" customHeight="1" x14ac:dyDescent="0.25">
      <c r="B750" s="860">
        <v>43446</v>
      </c>
      <c r="C750" s="558" t="s">
        <v>2349</v>
      </c>
      <c r="D750" s="558"/>
      <c r="E750" s="573" t="s">
        <v>1412</v>
      </c>
      <c r="F750" s="575" t="s">
        <v>1439</v>
      </c>
      <c r="G750" s="549" t="s">
        <v>4436</v>
      </c>
      <c r="H750" s="575" t="s">
        <v>28</v>
      </c>
      <c r="I750" s="575" t="s">
        <v>318</v>
      </c>
      <c r="J750" s="575" t="s">
        <v>1415</v>
      </c>
      <c r="K750" s="580">
        <v>5444</v>
      </c>
      <c r="L750" s="580">
        <v>50.130299999999998</v>
      </c>
      <c r="M750" s="552">
        <f>+K750/L750</f>
        <v>108.59699622783027</v>
      </c>
      <c r="N750" s="526">
        <v>60</v>
      </c>
      <c r="O750" s="563">
        <f t="shared" si="56"/>
        <v>90.733333333333334</v>
      </c>
      <c r="P750" s="564">
        <f t="shared" ca="1" si="57"/>
        <v>80</v>
      </c>
      <c r="Q750" s="552">
        <f t="shared" ca="1" si="58"/>
        <v>-1814.666666666667</v>
      </c>
      <c r="R750" s="563">
        <f t="shared" ca="1" si="59"/>
        <v>1</v>
      </c>
      <c r="S750" s="573" t="s">
        <v>1427</v>
      </c>
    </row>
    <row r="751" spans="2:19" ht="54.95" customHeight="1" x14ac:dyDescent="0.25">
      <c r="B751" s="860">
        <v>43446</v>
      </c>
      <c r="C751" s="558" t="s">
        <v>2349</v>
      </c>
      <c r="D751" s="558"/>
      <c r="E751" s="573" t="s">
        <v>1412</v>
      </c>
      <c r="F751" s="575" t="s">
        <v>1536</v>
      </c>
      <c r="G751" s="549" t="s">
        <v>4436</v>
      </c>
      <c r="H751" s="575" t="s">
        <v>28</v>
      </c>
      <c r="I751" s="575" t="s">
        <v>23</v>
      </c>
      <c r="J751" s="575" t="s">
        <v>1512</v>
      </c>
      <c r="K751" s="580">
        <v>5444</v>
      </c>
      <c r="L751" s="580">
        <v>50.130299999999998</v>
      </c>
      <c r="M751" s="552">
        <f>+K751/L751</f>
        <v>108.59699622783027</v>
      </c>
      <c r="N751" s="526">
        <v>60</v>
      </c>
      <c r="O751" s="563">
        <f t="shared" si="56"/>
        <v>90.733333333333334</v>
      </c>
      <c r="P751" s="564">
        <f t="shared" ca="1" si="57"/>
        <v>80</v>
      </c>
      <c r="Q751" s="552">
        <f t="shared" ca="1" si="58"/>
        <v>-1814.666666666667</v>
      </c>
      <c r="R751" s="563">
        <f t="shared" ca="1" si="59"/>
        <v>1</v>
      </c>
      <c r="S751" s="573" t="s">
        <v>1327</v>
      </c>
    </row>
    <row r="752" spans="2:19" ht="54.95" customHeight="1" x14ac:dyDescent="0.25">
      <c r="B752" s="860">
        <v>43446</v>
      </c>
      <c r="C752" s="558" t="s">
        <v>2349</v>
      </c>
      <c r="D752" s="558"/>
      <c r="E752" s="573" t="s">
        <v>1412</v>
      </c>
      <c r="F752" s="575" t="s">
        <v>1493</v>
      </c>
      <c r="G752" s="549" t="s">
        <v>4443</v>
      </c>
      <c r="H752" s="575" t="s">
        <v>28</v>
      </c>
      <c r="I752" s="575" t="s">
        <v>45</v>
      </c>
      <c r="J752" s="575" t="s">
        <v>837</v>
      </c>
      <c r="K752" s="580">
        <v>2722</v>
      </c>
      <c r="L752" s="580">
        <v>50.130299999999998</v>
      </c>
      <c r="M752" s="552">
        <f>+K752/L752</f>
        <v>54.298498113915137</v>
      </c>
      <c r="N752" s="526">
        <v>60</v>
      </c>
      <c r="O752" s="563">
        <f t="shared" si="56"/>
        <v>45.366666666666667</v>
      </c>
      <c r="P752" s="564">
        <f t="shared" ca="1" si="57"/>
        <v>80</v>
      </c>
      <c r="Q752" s="552">
        <f t="shared" ca="1" si="58"/>
        <v>-907.33333333333348</v>
      </c>
      <c r="R752" s="563">
        <f t="shared" ca="1" si="59"/>
        <v>1</v>
      </c>
      <c r="S752" s="573" t="s">
        <v>1427</v>
      </c>
    </row>
    <row r="753" spans="2:19" ht="54.95" customHeight="1" x14ac:dyDescent="0.25">
      <c r="B753" s="860">
        <v>43446</v>
      </c>
      <c r="C753" s="558" t="s">
        <v>2349</v>
      </c>
      <c r="D753" s="558"/>
      <c r="E753" s="575" t="s">
        <v>1412</v>
      </c>
      <c r="F753" s="575" t="s">
        <v>1464</v>
      </c>
      <c r="G753" s="549" t="s">
        <v>4439</v>
      </c>
      <c r="H753" s="575" t="s">
        <v>28</v>
      </c>
      <c r="I753" s="575" t="s">
        <v>1443</v>
      </c>
      <c r="J753" s="575" t="s">
        <v>1444</v>
      </c>
      <c r="K753" s="580">
        <v>12016</v>
      </c>
      <c r="L753" s="580">
        <v>50.130299999999998</v>
      </c>
      <c r="M753" s="581">
        <v>239.69535390771651</v>
      </c>
      <c r="N753" s="526">
        <v>60</v>
      </c>
      <c r="O753" s="563">
        <f t="shared" si="56"/>
        <v>200.26666666666668</v>
      </c>
      <c r="P753" s="564">
        <f t="shared" ca="1" si="57"/>
        <v>80</v>
      </c>
      <c r="Q753" s="552">
        <f t="shared" ca="1" si="58"/>
        <v>-4005.3333333333339</v>
      </c>
      <c r="R753" s="563">
        <f t="shared" ca="1" si="59"/>
        <v>1</v>
      </c>
      <c r="S753" s="573" t="s">
        <v>1427</v>
      </c>
    </row>
    <row r="754" spans="2:19" ht="54.95" customHeight="1" x14ac:dyDescent="0.25">
      <c r="B754" s="860">
        <v>43446</v>
      </c>
      <c r="C754" s="558" t="s">
        <v>2349</v>
      </c>
      <c r="D754" s="558"/>
      <c r="E754" s="573" t="s">
        <v>1412</v>
      </c>
      <c r="F754" s="575" t="s">
        <v>1492</v>
      </c>
      <c r="G754" s="549" t="s">
        <v>4442</v>
      </c>
      <c r="H754" s="575" t="s">
        <v>28</v>
      </c>
      <c r="I754" s="575" t="s">
        <v>45</v>
      </c>
      <c r="J754" s="575" t="s">
        <v>837</v>
      </c>
      <c r="K754" s="580">
        <v>9012</v>
      </c>
      <c r="L754" s="580">
        <v>50.130299999999998</v>
      </c>
      <c r="M754" s="552">
        <f>+K754/L754</f>
        <v>179.77151543078736</v>
      </c>
      <c r="N754" s="526">
        <v>60</v>
      </c>
      <c r="O754" s="563">
        <f t="shared" si="56"/>
        <v>150.19999999999999</v>
      </c>
      <c r="P754" s="564">
        <f t="shared" ca="1" si="57"/>
        <v>80</v>
      </c>
      <c r="Q754" s="552">
        <f t="shared" ca="1" si="58"/>
        <v>-3004</v>
      </c>
      <c r="R754" s="563">
        <f t="shared" ca="1" si="59"/>
        <v>1</v>
      </c>
      <c r="S754" s="573" t="s">
        <v>1427</v>
      </c>
    </row>
    <row r="755" spans="2:19" ht="39.950000000000003" customHeight="1" x14ac:dyDescent="0.25">
      <c r="B755" s="860">
        <v>43446</v>
      </c>
      <c r="C755" s="558" t="s">
        <v>2349</v>
      </c>
      <c r="D755" s="558"/>
      <c r="E755" s="573" t="s">
        <v>1412</v>
      </c>
      <c r="F755" s="575" t="s">
        <v>1535</v>
      </c>
      <c r="G755" s="549" t="s">
        <v>4446</v>
      </c>
      <c r="H755" s="575" t="s">
        <v>28</v>
      </c>
      <c r="I755" s="575" t="s">
        <v>23</v>
      </c>
      <c r="J755" s="575" t="s">
        <v>1512</v>
      </c>
      <c r="K755" s="580">
        <v>15020</v>
      </c>
      <c r="L755" s="580">
        <v>50.130299999999998</v>
      </c>
      <c r="M755" s="552">
        <f>+K755/L755</f>
        <v>299.6191923846456</v>
      </c>
      <c r="N755" s="526">
        <v>60</v>
      </c>
      <c r="O755" s="563">
        <f t="shared" si="56"/>
        <v>250.33333333333334</v>
      </c>
      <c r="P755" s="564">
        <f t="shared" ca="1" si="57"/>
        <v>80</v>
      </c>
      <c r="Q755" s="552">
        <f t="shared" ca="1" si="58"/>
        <v>-5006.6666666666679</v>
      </c>
      <c r="R755" s="563">
        <f t="shared" ca="1" si="59"/>
        <v>1</v>
      </c>
      <c r="S755" s="573" t="s">
        <v>1327</v>
      </c>
    </row>
    <row r="756" spans="2:19" ht="39.950000000000003" customHeight="1" x14ac:dyDescent="0.25">
      <c r="B756" s="860">
        <v>43446</v>
      </c>
      <c r="C756" s="558" t="s">
        <v>2349</v>
      </c>
      <c r="D756" s="558"/>
      <c r="E756" s="573" t="s">
        <v>1412</v>
      </c>
      <c r="F756" s="575" t="s">
        <v>1537</v>
      </c>
      <c r="G756" s="549" t="s">
        <v>4447</v>
      </c>
      <c r="H756" s="575" t="s">
        <v>28</v>
      </c>
      <c r="I756" s="575" t="s">
        <v>23</v>
      </c>
      <c r="J756" s="575" t="s">
        <v>1512</v>
      </c>
      <c r="K756" s="580">
        <v>12096</v>
      </c>
      <c r="L756" s="580">
        <v>50.130299999999998</v>
      </c>
      <c r="M756" s="552">
        <f>+K756/L756</f>
        <v>241.29119514545096</v>
      </c>
      <c r="N756" s="526">
        <v>60</v>
      </c>
      <c r="O756" s="563">
        <f t="shared" si="56"/>
        <v>201.6</v>
      </c>
      <c r="P756" s="564">
        <f t="shared" ca="1" si="57"/>
        <v>80</v>
      </c>
      <c r="Q756" s="552">
        <f t="shared" ca="1" si="58"/>
        <v>-4032</v>
      </c>
      <c r="R756" s="563">
        <f t="shared" ca="1" si="59"/>
        <v>1</v>
      </c>
      <c r="S756" s="573" t="s">
        <v>1327</v>
      </c>
    </row>
    <row r="757" spans="2:19" ht="48" customHeight="1" x14ac:dyDescent="0.25">
      <c r="B757" s="860">
        <v>43446</v>
      </c>
      <c r="C757" s="558" t="s">
        <v>2349</v>
      </c>
      <c r="D757" s="558"/>
      <c r="E757" s="575" t="s">
        <v>1412</v>
      </c>
      <c r="F757" s="575" t="s">
        <v>1465</v>
      </c>
      <c r="G757" s="549" t="s">
        <v>4440</v>
      </c>
      <c r="H757" s="575" t="s">
        <v>28</v>
      </c>
      <c r="I757" s="575" t="s">
        <v>1443</v>
      </c>
      <c r="J757" s="575" t="s">
        <v>1444</v>
      </c>
      <c r="K757" s="580">
        <v>9072</v>
      </c>
      <c r="L757" s="580">
        <v>50.130299999999998</v>
      </c>
      <c r="M757" s="581">
        <v>180.96839635908822</v>
      </c>
      <c r="N757" s="526">
        <v>60</v>
      </c>
      <c r="O757" s="563">
        <f t="shared" si="56"/>
        <v>151.19999999999999</v>
      </c>
      <c r="P757" s="564">
        <f t="shared" ca="1" si="57"/>
        <v>80</v>
      </c>
      <c r="Q757" s="552">
        <f t="shared" ca="1" si="58"/>
        <v>-3024</v>
      </c>
      <c r="R757" s="563">
        <f t="shared" ca="1" si="59"/>
        <v>1</v>
      </c>
      <c r="S757" s="573" t="s">
        <v>1427</v>
      </c>
    </row>
    <row r="758" spans="2:19" ht="54.75" customHeight="1" x14ac:dyDescent="0.25">
      <c r="B758" s="860">
        <v>43446</v>
      </c>
      <c r="C758" s="558" t="s">
        <v>2349</v>
      </c>
      <c r="D758" s="558"/>
      <c r="E758" s="573" t="s">
        <v>1412</v>
      </c>
      <c r="F758" s="575" t="s">
        <v>1494</v>
      </c>
      <c r="G758" s="549" t="s">
        <v>4444</v>
      </c>
      <c r="H758" s="575" t="s">
        <v>28</v>
      </c>
      <c r="I758" s="575" t="s">
        <v>45</v>
      </c>
      <c r="J758" s="575" t="s">
        <v>837</v>
      </c>
      <c r="K758" s="580">
        <v>6048</v>
      </c>
      <c r="L758" s="580">
        <v>50.130299999999998</v>
      </c>
      <c r="M758" s="552">
        <f>+K758/L758</f>
        <v>120.64559757272548</v>
      </c>
      <c r="N758" s="526">
        <v>60</v>
      </c>
      <c r="O758" s="563">
        <f t="shared" si="56"/>
        <v>100.8</v>
      </c>
      <c r="P758" s="564">
        <f t="shared" ca="1" si="57"/>
        <v>80</v>
      </c>
      <c r="Q758" s="552">
        <f t="shared" ca="1" si="58"/>
        <v>-2016</v>
      </c>
      <c r="R758" s="563">
        <f t="shared" ca="1" si="59"/>
        <v>1</v>
      </c>
      <c r="S758" s="573" t="s">
        <v>1427</v>
      </c>
    </row>
    <row r="759" spans="2:19" ht="53.25" customHeight="1" x14ac:dyDescent="0.25">
      <c r="B759" s="860">
        <v>43446</v>
      </c>
      <c r="C759" s="558" t="s">
        <v>2349</v>
      </c>
      <c r="D759" s="558"/>
      <c r="E759" s="573" t="s">
        <v>1412</v>
      </c>
      <c r="F759" s="575" t="s">
        <v>1437</v>
      </c>
      <c r="G759" s="549" t="s">
        <v>1438</v>
      </c>
      <c r="H759" s="575" t="s">
        <v>28</v>
      </c>
      <c r="I759" s="575" t="s">
        <v>318</v>
      </c>
      <c r="J759" s="575" t="s">
        <v>1415</v>
      </c>
      <c r="K759" s="580">
        <v>3024</v>
      </c>
      <c r="L759" s="580">
        <v>50.130299999999998</v>
      </c>
      <c r="M759" s="552">
        <f>+K759/L759</f>
        <v>60.322798786362739</v>
      </c>
      <c r="N759" s="526">
        <v>60</v>
      </c>
      <c r="O759" s="563">
        <f t="shared" si="56"/>
        <v>50.4</v>
      </c>
      <c r="P759" s="564">
        <f t="shared" ca="1" si="57"/>
        <v>80</v>
      </c>
      <c r="Q759" s="552">
        <f t="shared" ca="1" si="58"/>
        <v>-1008</v>
      </c>
      <c r="R759" s="563">
        <f t="shared" ca="1" si="59"/>
        <v>1</v>
      </c>
      <c r="S759" s="573" t="s">
        <v>1427</v>
      </c>
    </row>
    <row r="760" spans="2:19" ht="39.950000000000003" customHeight="1" x14ac:dyDescent="0.25">
      <c r="B760" s="860">
        <v>43446</v>
      </c>
      <c r="C760" s="558" t="s">
        <v>2349</v>
      </c>
      <c r="D760" s="558"/>
      <c r="E760" s="575" t="s">
        <v>1412</v>
      </c>
      <c r="F760" s="575" t="s">
        <v>1462</v>
      </c>
      <c r="G760" s="549" t="s">
        <v>1438</v>
      </c>
      <c r="H760" s="575" t="s">
        <v>28</v>
      </c>
      <c r="I760" s="575" t="s">
        <v>1443</v>
      </c>
      <c r="J760" s="575" t="s">
        <v>1444</v>
      </c>
      <c r="K760" s="580">
        <v>3024</v>
      </c>
      <c r="L760" s="580">
        <v>50.130299999999998</v>
      </c>
      <c r="M760" s="581">
        <v>60.322798786362739</v>
      </c>
      <c r="N760" s="526">
        <v>60</v>
      </c>
      <c r="O760" s="563">
        <f t="shared" si="56"/>
        <v>50.4</v>
      </c>
      <c r="P760" s="564">
        <f t="shared" ca="1" si="57"/>
        <v>80</v>
      </c>
      <c r="Q760" s="552">
        <f t="shared" ca="1" si="58"/>
        <v>-1008</v>
      </c>
      <c r="R760" s="563">
        <f t="shared" ca="1" si="59"/>
        <v>1</v>
      </c>
      <c r="S760" s="573" t="s">
        <v>1427</v>
      </c>
    </row>
    <row r="761" spans="2:19" ht="51" customHeight="1" x14ac:dyDescent="0.25">
      <c r="B761" s="860">
        <v>43446</v>
      </c>
      <c r="C761" s="558" t="s">
        <v>2349</v>
      </c>
      <c r="D761" s="558"/>
      <c r="E761" s="573" t="s">
        <v>1412</v>
      </c>
      <c r="F761" s="575" t="s">
        <v>1489</v>
      </c>
      <c r="G761" s="549" t="s">
        <v>1438</v>
      </c>
      <c r="H761" s="575" t="s">
        <v>28</v>
      </c>
      <c r="I761" s="575" t="s">
        <v>45</v>
      </c>
      <c r="J761" s="575" t="s">
        <v>837</v>
      </c>
      <c r="K761" s="580">
        <v>3024</v>
      </c>
      <c r="L761" s="580">
        <v>50.130299999999998</v>
      </c>
      <c r="M761" s="552">
        <f>+K761/L761</f>
        <v>60.322798786362739</v>
      </c>
      <c r="N761" s="526">
        <v>60</v>
      </c>
      <c r="O761" s="563">
        <f t="shared" si="56"/>
        <v>50.4</v>
      </c>
      <c r="P761" s="564">
        <f t="shared" ca="1" si="57"/>
        <v>80</v>
      </c>
      <c r="Q761" s="552">
        <f t="shared" ca="1" si="58"/>
        <v>-1008</v>
      </c>
      <c r="R761" s="563">
        <f t="shared" ca="1" si="59"/>
        <v>1</v>
      </c>
      <c r="S761" s="573" t="s">
        <v>1427</v>
      </c>
    </row>
    <row r="762" spans="2:19" ht="67.5" customHeight="1" x14ac:dyDescent="0.25">
      <c r="B762" s="860">
        <v>43446</v>
      </c>
      <c r="C762" s="558" t="s">
        <v>2349</v>
      </c>
      <c r="D762" s="558"/>
      <c r="E762" s="573" t="s">
        <v>1412</v>
      </c>
      <c r="F762" s="575" t="s">
        <v>1490</v>
      </c>
      <c r="G762" s="549" t="s">
        <v>1438</v>
      </c>
      <c r="H762" s="575" t="s">
        <v>28</v>
      </c>
      <c r="I762" s="575" t="s">
        <v>45</v>
      </c>
      <c r="J762" s="575" t="s">
        <v>837</v>
      </c>
      <c r="K762" s="580">
        <v>3024</v>
      </c>
      <c r="L762" s="580">
        <v>50.130299999999998</v>
      </c>
      <c r="M762" s="552">
        <f>+K762/L762</f>
        <v>60.322798786362739</v>
      </c>
      <c r="N762" s="526">
        <v>60</v>
      </c>
      <c r="O762" s="563">
        <f t="shared" si="56"/>
        <v>50.4</v>
      </c>
      <c r="P762" s="564">
        <f t="shared" ca="1" si="57"/>
        <v>80</v>
      </c>
      <c r="Q762" s="552">
        <f t="shared" ca="1" si="58"/>
        <v>-1008</v>
      </c>
      <c r="R762" s="563">
        <f t="shared" ca="1" si="59"/>
        <v>1</v>
      </c>
      <c r="S762" s="573" t="s">
        <v>1427</v>
      </c>
    </row>
    <row r="763" spans="2:19" ht="62.25" customHeight="1" x14ac:dyDescent="0.25">
      <c r="B763" s="860">
        <v>43446</v>
      </c>
      <c r="C763" s="558" t="s">
        <v>2349</v>
      </c>
      <c r="D763" s="558"/>
      <c r="E763" s="573" t="s">
        <v>1412</v>
      </c>
      <c r="F763" s="575" t="s">
        <v>1533</v>
      </c>
      <c r="G763" s="549" t="s">
        <v>1438</v>
      </c>
      <c r="H763" s="575" t="s">
        <v>28</v>
      </c>
      <c r="I763" s="575" t="s">
        <v>23</v>
      </c>
      <c r="J763" s="575" t="s">
        <v>1512</v>
      </c>
      <c r="K763" s="580">
        <v>3024</v>
      </c>
      <c r="L763" s="580">
        <v>50.130299999999998</v>
      </c>
      <c r="M763" s="552">
        <f>+K763/L763</f>
        <v>60.322798786362739</v>
      </c>
      <c r="N763" s="526">
        <v>60</v>
      </c>
      <c r="O763" s="563">
        <f t="shared" si="56"/>
        <v>50.4</v>
      </c>
      <c r="P763" s="564">
        <f t="shared" ca="1" si="57"/>
        <v>80</v>
      </c>
      <c r="Q763" s="552">
        <f t="shared" ca="1" si="58"/>
        <v>-1008</v>
      </c>
      <c r="R763" s="563">
        <f t="shared" ca="1" si="59"/>
        <v>1</v>
      </c>
      <c r="S763" s="573" t="s">
        <v>1327</v>
      </c>
    </row>
    <row r="764" spans="2:19" ht="49.5" customHeight="1" x14ac:dyDescent="0.25">
      <c r="B764" s="860">
        <v>43446</v>
      </c>
      <c r="C764" s="558" t="s">
        <v>2349</v>
      </c>
      <c r="D764" s="558"/>
      <c r="E764" s="573" t="s">
        <v>1412</v>
      </c>
      <c r="F764" s="575" t="s">
        <v>1583</v>
      </c>
      <c r="G764" s="549" t="s">
        <v>1438</v>
      </c>
      <c r="H764" s="575" t="s">
        <v>28</v>
      </c>
      <c r="I764" s="575" t="s">
        <v>23</v>
      </c>
      <c r="J764" s="575" t="s">
        <v>1512</v>
      </c>
      <c r="K764" s="580">
        <v>3024</v>
      </c>
      <c r="L764" s="580">
        <v>50.130299999999998</v>
      </c>
      <c r="M764" s="552">
        <f>+K764/L764</f>
        <v>60.322798786362739</v>
      </c>
      <c r="N764" s="526">
        <v>60</v>
      </c>
      <c r="O764" s="563">
        <f t="shared" si="56"/>
        <v>50.4</v>
      </c>
      <c r="P764" s="564">
        <f t="shared" ca="1" si="57"/>
        <v>80</v>
      </c>
      <c r="Q764" s="552">
        <f t="shared" ca="1" si="58"/>
        <v>-1008</v>
      </c>
      <c r="R764" s="563">
        <f t="shared" ca="1" si="59"/>
        <v>1</v>
      </c>
      <c r="S764" s="573" t="s">
        <v>1327</v>
      </c>
    </row>
    <row r="765" spans="2:19" ht="62.25" customHeight="1" x14ac:dyDescent="0.25">
      <c r="B765" s="860">
        <v>43446</v>
      </c>
      <c r="C765" s="558" t="s">
        <v>2349</v>
      </c>
      <c r="D765" s="558"/>
      <c r="E765" s="575" t="s">
        <v>1412</v>
      </c>
      <c r="F765" s="575" t="s">
        <v>1466</v>
      </c>
      <c r="G765" s="549" t="s">
        <v>1467</v>
      </c>
      <c r="H765" s="575" t="s">
        <v>28</v>
      </c>
      <c r="I765" s="575" t="s">
        <v>1443</v>
      </c>
      <c r="J765" s="575" t="s">
        <v>1444</v>
      </c>
      <c r="K765" s="580">
        <v>40815</v>
      </c>
      <c r="L765" s="580">
        <v>50.130299999999998</v>
      </c>
      <c r="M765" s="581">
        <v>814.17825147665189</v>
      </c>
      <c r="N765" s="526">
        <v>60</v>
      </c>
      <c r="O765" s="563">
        <f t="shared" si="56"/>
        <v>680.25</v>
      </c>
      <c r="P765" s="564">
        <f t="shared" ca="1" si="57"/>
        <v>80</v>
      </c>
      <c r="Q765" s="552">
        <f t="shared" ca="1" si="58"/>
        <v>-13605</v>
      </c>
      <c r="R765" s="563">
        <f t="shared" ca="1" si="59"/>
        <v>1</v>
      </c>
      <c r="S765" s="573" t="s">
        <v>1427</v>
      </c>
    </row>
    <row r="766" spans="2:19" ht="39.950000000000003" customHeight="1" x14ac:dyDescent="0.25">
      <c r="B766" s="860">
        <v>43446</v>
      </c>
      <c r="C766" s="558" t="s">
        <v>2349</v>
      </c>
      <c r="D766" s="558"/>
      <c r="E766" s="573" t="s">
        <v>1412</v>
      </c>
      <c r="F766" s="575" t="s">
        <v>1495</v>
      </c>
      <c r="G766" s="549" t="s">
        <v>1467</v>
      </c>
      <c r="H766" s="575" t="s">
        <v>1496</v>
      </c>
      <c r="I766" s="575" t="s">
        <v>45</v>
      </c>
      <c r="J766" s="575" t="s">
        <v>837</v>
      </c>
      <c r="K766" s="580">
        <v>40815</v>
      </c>
      <c r="L766" s="580">
        <v>50.130299999999998</v>
      </c>
      <c r="M766" s="552">
        <f t="shared" ref="M766:M780" si="62">+K766/L766</f>
        <v>814.17825147665189</v>
      </c>
      <c r="N766" s="526">
        <v>60</v>
      </c>
      <c r="O766" s="563">
        <f t="shared" si="56"/>
        <v>680.25</v>
      </c>
      <c r="P766" s="564">
        <f t="shared" ca="1" si="57"/>
        <v>80</v>
      </c>
      <c r="Q766" s="552">
        <f t="shared" ca="1" si="58"/>
        <v>-13605</v>
      </c>
      <c r="R766" s="563">
        <f t="shared" ca="1" si="59"/>
        <v>1</v>
      </c>
      <c r="S766" s="573" t="s">
        <v>1427</v>
      </c>
    </row>
    <row r="767" spans="2:19" ht="39.950000000000003" customHeight="1" x14ac:dyDescent="0.25">
      <c r="B767" s="860">
        <v>43446</v>
      </c>
      <c r="C767" s="558" t="s">
        <v>2349</v>
      </c>
      <c r="D767" s="558"/>
      <c r="E767" s="573" t="s">
        <v>1412</v>
      </c>
      <c r="F767" s="575" t="s">
        <v>1507</v>
      </c>
      <c r="G767" s="549" t="s">
        <v>1467</v>
      </c>
      <c r="H767" s="575" t="s">
        <v>1508</v>
      </c>
      <c r="I767" s="575" t="s">
        <v>1509</v>
      </c>
      <c r="J767" s="575" t="s">
        <v>1510</v>
      </c>
      <c r="K767" s="580">
        <v>40815</v>
      </c>
      <c r="L767" s="580">
        <v>50.130299999999998</v>
      </c>
      <c r="M767" s="552">
        <f t="shared" si="62"/>
        <v>814.17825147665189</v>
      </c>
      <c r="N767" s="526">
        <v>60</v>
      </c>
      <c r="O767" s="563">
        <f t="shared" si="56"/>
        <v>680.25</v>
      </c>
      <c r="P767" s="564">
        <f t="shared" ca="1" si="57"/>
        <v>80</v>
      </c>
      <c r="Q767" s="552">
        <f t="shared" ca="1" si="58"/>
        <v>-13605</v>
      </c>
      <c r="R767" s="563">
        <f t="shared" ca="1" si="59"/>
        <v>1</v>
      </c>
      <c r="S767" s="573" t="s">
        <v>1427</v>
      </c>
    </row>
    <row r="768" spans="2:19" ht="39.950000000000003" customHeight="1" x14ac:dyDescent="0.25">
      <c r="B768" s="860">
        <v>43446</v>
      </c>
      <c r="C768" s="558" t="s">
        <v>2349</v>
      </c>
      <c r="D768" s="558"/>
      <c r="E768" s="573" t="s">
        <v>1412</v>
      </c>
      <c r="F768" s="575" t="s">
        <v>1538</v>
      </c>
      <c r="G768" s="549" t="s">
        <v>1467</v>
      </c>
      <c r="H768" s="575" t="s">
        <v>1539</v>
      </c>
      <c r="I768" s="575" t="s">
        <v>23</v>
      </c>
      <c r="J768" s="575" t="s">
        <v>1512</v>
      </c>
      <c r="K768" s="580">
        <v>40815</v>
      </c>
      <c r="L768" s="580">
        <v>50.130299999999998</v>
      </c>
      <c r="M768" s="552">
        <f t="shared" si="62"/>
        <v>814.17825147665189</v>
      </c>
      <c r="N768" s="526">
        <v>60</v>
      </c>
      <c r="O768" s="563">
        <f t="shared" si="56"/>
        <v>680.25</v>
      </c>
      <c r="P768" s="564">
        <f t="shared" ca="1" si="57"/>
        <v>80</v>
      </c>
      <c r="Q768" s="552">
        <f t="shared" ca="1" si="58"/>
        <v>-13605</v>
      </c>
      <c r="R768" s="563">
        <f t="shared" ca="1" si="59"/>
        <v>1</v>
      </c>
      <c r="S768" s="573" t="s">
        <v>1327</v>
      </c>
    </row>
    <row r="769" spans="1:19" ht="39.950000000000003" customHeight="1" x14ac:dyDescent="0.25">
      <c r="B769" s="860">
        <v>43446</v>
      </c>
      <c r="C769" s="558" t="s">
        <v>2349</v>
      </c>
      <c r="D769" s="558"/>
      <c r="E769" s="573" t="s">
        <v>1412</v>
      </c>
      <c r="F769" s="575" t="s">
        <v>1560</v>
      </c>
      <c r="G769" s="549" t="s">
        <v>1467</v>
      </c>
      <c r="H769" s="575" t="s">
        <v>28</v>
      </c>
      <c r="I769" s="575" t="s">
        <v>1561</v>
      </c>
      <c r="J769" s="575" t="s">
        <v>1562</v>
      </c>
      <c r="K769" s="580">
        <v>40815</v>
      </c>
      <c r="L769" s="580">
        <v>50.130299999999998</v>
      </c>
      <c r="M769" s="552">
        <f t="shared" si="62"/>
        <v>814.17825147665189</v>
      </c>
      <c r="N769" s="526">
        <v>60</v>
      </c>
      <c r="O769" s="563">
        <f t="shared" si="56"/>
        <v>680.25</v>
      </c>
      <c r="P769" s="564">
        <f t="shared" ca="1" si="57"/>
        <v>80</v>
      </c>
      <c r="Q769" s="552">
        <f t="shared" ca="1" si="58"/>
        <v>-13605</v>
      </c>
      <c r="R769" s="563">
        <f t="shared" ca="1" si="59"/>
        <v>1</v>
      </c>
      <c r="S769" s="573" t="s">
        <v>1327</v>
      </c>
    </row>
    <row r="770" spans="1:19" ht="65.25" customHeight="1" x14ac:dyDescent="0.25">
      <c r="B770" s="860">
        <v>43446</v>
      </c>
      <c r="C770" s="558" t="s">
        <v>2349</v>
      </c>
      <c r="D770" s="558"/>
      <c r="E770" s="573" t="s">
        <v>1412</v>
      </c>
      <c r="F770" s="575" t="s">
        <v>1563</v>
      </c>
      <c r="G770" s="549" t="s">
        <v>1467</v>
      </c>
      <c r="H770" s="575" t="s">
        <v>28</v>
      </c>
      <c r="I770" s="575" t="s">
        <v>1561</v>
      </c>
      <c r="J770" s="575" t="s">
        <v>1562</v>
      </c>
      <c r="K770" s="580">
        <v>40815</v>
      </c>
      <c r="L770" s="580">
        <v>50.130299999999998</v>
      </c>
      <c r="M770" s="552">
        <f t="shared" si="62"/>
        <v>814.17825147665189</v>
      </c>
      <c r="N770" s="526">
        <v>60</v>
      </c>
      <c r="O770" s="563">
        <f t="shared" si="56"/>
        <v>680.25</v>
      </c>
      <c r="P770" s="564">
        <f t="shared" ca="1" si="57"/>
        <v>80</v>
      </c>
      <c r="Q770" s="552">
        <f t="shared" ca="1" si="58"/>
        <v>-13605</v>
      </c>
      <c r="R770" s="563">
        <f t="shared" ca="1" si="59"/>
        <v>1</v>
      </c>
      <c r="S770" s="573" t="s">
        <v>1327</v>
      </c>
    </row>
    <row r="771" spans="1:19" ht="39.950000000000003" customHeight="1" x14ac:dyDescent="0.25">
      <c r="B771" s="860">
        <v>43446</v>
      </c>
      <c r="C771" s="558" t="s">
        <v>2349</v>
      </c>
      <c r="D771" s="558"/>
      <c r="E771" s="573" t="s">
        <v>1412</v>
      </c>
      <c r="F771" s="575" t="s">
        <v>1564</v>
      </c>
      <c r="G771" s="549" t="s">
        <v>1467</v>
      </c>
      <c r="H771" s="575" t="s">
        <v>28</v>
      </c>
      <c r="I771" s="575" t="s">
        <v>1561</v>
      </c>
      <c r="J771" s="575" t="s">
        <v>1562</v>
      </c>
      <c r="K771" s="580">
        <v>40815</v>
      </c>
      <c r="L771" s="580">
        <v>50.130299999999998</v>
      </c>
      <c r="M771" s="552">
        <f t="shared" si="62"/>
        <v>814.17825147665189</v>
      </c>
      <c r="N771" s="526">
        <v>60</v>
      </c>
      <c r="O771" s="563">
        <f t="shared" si="56"/>
        <v>680.25</v>
      </c>
      <c r="P771" s="564">
        <f t="shared" ca="1" si="57"/>
        <v>80</v>
      </c>
      <c r="Q771" s="552">
        <f t="shared" ca="1" si="58"/>
        <v>-13605</v>
      </c>
      <c r="R771" s="563">
        <f t="shared" ca="1" si="59"/>
        <v>1</v>
      </c>
      <c r="S771" s="573" t="s">
        <v>1327</v>
      </c>
    </row>
    <row r="772" spans="1:19" ht="39.950000000000003" customHeight="1" x14ac:dyDescent="0.25">
      <c r="B772" s="860">
        <v>43446</v>
      </c>
      <c r="C772" s="558" t="s">
        <v>2349</v>
      </c>
      <c r="D772" s="558"/>
      <c r="E772" s="573" t="s">
        <v>1412</v>
      </c>
      <c r="F772" s="575" t="s">
        <v>1569</v>
      </c>
      <c r="G772" s="549" t="s">
        <v>1467</v>
      </c>
      <c r="H772" s="575" t="s">
        <v>28</v>
      </c>
      <c r="I772" s="575" t="s">
        <v>1509</v>
      </c>
      <c r="J772" s="575" t="s">
        <v>1510</v>
      </c>
      <c r="K772" s="580">
        <v>40815</v>
      </c>
      <c r="L772" s="580">
        <v>50.130299999999998</v>
      </c>
      <c r="M772" s="552">
        <f t="shared" si="62"/>
        <v>814.17825147665189</v>
      </c>
      <c r="N772" s="526">
        <v>60</v>
      </c>
      <c r="O772" s="563">
        <f t="shared" si="56"/>
        <v>680.25</v>
      </c>
      <c r="P772" s="564">
        <f t="shared" ca="1" si="57"/>
        <v>80</v>
      </c>
      <c r="Q772" s="552">
        <f t="shared" ca="1" si="58"/>
        <v>-13605</v>
      </c>
      <c r="R772" s="563">
        <f t="shared" ca="1" si="59"/>
        <v>1</v>
      </c>
      <c r="S772" s="573" t="s">
        <v>1327</v>
      </c>
    </row>
    <row r="773" spans="1:19" ht="39.950000000000003" customHeight="1" x14ac:dyDescent="0.25">
      <c r="B773" s="860">
        <v>43446</v>
      </c>
      <c r="C773" s="558" t="s">
        <v>2349</v>
      </c>
      <c r="D773" s="558"/>
      <c r="E773" s="573" t="s">
        <v>1412</v>
      </c>
      <c r="F773" s="575" t="s">
        <v>1413</v>
      </c>
      <c r="G773" s="549" t="s">
        <v>1414</v>
      </c>
      <c r="H773" s="575">
        <v>18070316</v>
      </c>
      <c r="I773" s="575" t="s">
        <v>318</v>
      </c>
      <c r="J773" s="575" t="s">
        <v>1415</v>
      </c>
      <c r="K773" s="580">
        <v>192256</v>
      </c>
      <c r="L773" s="580">
        <v>50.130299999999998</v>
      </c>
      <c r="M773" s="552">
        <f t="shared" si="62"/>
        <v>3835.1256625234641</v>
      </c>
      <c r="N773" s="526">
        <v>60</v>
      </c>
      <c r="O773" s="563">
        <f t="shared" si="56"/>
        <v>3204.2666666666669</v>
      </c>
      <c r="P773" s="564">
        <f t="shared" ca="1" si="57"/>
        <v>80</v>
      </c>
      <c r="Q773" s="552">
        <f t="shared" ca="1" si="58"/>
        <v>-64085.333333333343</v>
      </c>
      <c r="R773" s="563">
        <f t="shared" ca="1" si="59"/>
        <v>1</v>
      </c>
      <c r="S773" s="573" t="s">
        <v>1416</v>
      </c>
    </row>
    <row r="774" spans="1:19" ht="50.25" customHeight="1" x14ac:dyDescent="0.25">
      <c r="B774" s="860">
        <v>43446</v>
      </c>
      <c r="C774" s="558" t="s">
        <v>2349</v>
      </c>
      <c r="D774" s="558"/>
      <c r="E774" s="573" t="s">
        <v>1412</v>
      </c>
      <c r="F774" s="575" t="s">
        <v>1430</v>
      </c>
      <c r="G774" s="549" t="s">
        <v>1431</v>
      </c>
      <c r="H774" s="575" t="s">
        <v>1432</v>
      </c>
      <c r="I774" s="575" t="s">
        <v>318</v>
      </c>
      <c r="J774" s="575" t="s">
        <v>1415</v>
      </c>
      <c r="K774" s="580">
        <v>75600</v>
      </c>
      <c r="L774" s="580">
        <v>50.130299999999998</v>
      </c>
      <c r="M774" s="552">
        <f t="shared" si="62"/>
        <v>1508.0699696590684</v>
      </c>
      <c r="N774" s="526">
        <v>60</v>
      </c>
      <c r="O774" s="563">
        <f t="shared" si="56"/>
        <v>1260</v>
      </c>
      <c r="P774" s="564">
        <f t="shared" ca="1" si="57"/>
        <v>80</v>
      </c>
      <c r="Q774" s="552">
        <f t="shared" ca="1" si="58"/>
        <v>-25200</v>
      </c>
      <c r="R774" s="563">
        <f t="shared" ca="1" si="59"/>
        <v>1</v>
      </c>
      <c r="S774" s="573" t="s">
        <v>1427</v>
      </c>
    </row>
    <row r="775" spans="1:19" ht="50.25" customHeight="1" x14ac:dyDescent="0.25">
      <c r="B775" s="860">
        <v>43446</v>
      </c>
      <c r="C775" s="558" t="s">
        <v>2349</v>
      </c>
      <c r="D775" s="558"/>
      <c r="E775" s="573" t="s">
        <v>1412</v>
      </c>
      <c r="F775" s="575" t="s">
        <v>1475</v>
      </c>
      <c r="G775" s="549" t="s">
        <v>1476</v>
      </c>
      <c r="H775" s="575" t="s">
        <v>1477</v>
      </c>
      <c r="I775" s="575" t="s">
        <v>45</v>
      </c>
      <c r="J775" s="575" t="s">
        <v>837</v>
      </c>
      <c r="K775" s="580">
        <v>75600</v>
      </c>
      <c r="L775" s="580">
        <v>50.130299999999998</v>
      </c>
      <c r="M775" s="552">
        <f t="shared" si="62"/>
        <v>1508.0699696590684</v>
      </c>
      <c r="N775" s="526">
        <v>60</v>
      </c>
      <c r="O775" s="563">
        <f t="shared" si="56"/>
        <v>1260</v>
      </c>
      <c r="P775" s="564">
        <f t="shared" ca="1" si="57"/>
        <v>80</v>
      </c>
      <c r="Q775" s="552">
        <f t="shared" ca="1" si="58"/>
        <v>-25200</v>
      </c>
      <c r="R775" s="563">
        <f t="shared" ca="1" si="59"/>
        <v>1</v>
      </c>
      <c r="S775" s="573" t="s">
        <v>1427</v>
      </c>
    </row>
    <row r="776" spans="1:19" ht="45.75" customHeight="1" x14ac:dyDescent="0.25">
      <c r="B776" s="860">
        <v>43446</v>
      </c>
      <c r="C776" s="558" t="s">
        <v>2349</v>
      </c>
      <c r="D776" s="558"/>
      <c r="E776" s="573" t="s">
        <v>1412</v>
      </c>
      <c r="F776" s="575" t="s">
        <v>1517</v>
      </c>
      <c r="G776" s="549" t="s">
        <v>1476</v>
      </c>
      <c r="H776" s="575" t="s">
        <v>28</v>
      </c>
      <c r="I776" s="575" t="s">
        <v>23</v>
      </c>
      <c r="J776" s="575" t="s">
        <v>1512</v>
      </c>
      <c r="K776" s="580">
        <v>75600</v>
      </c>
      <c r="L776" s="580">
        <v>50.130299999999998</v>
      </c>
      <c r="M776" s="552">
        <f t="shared" si="62"/>
        <v>1508.0699696590684</v>
      </c>
      <c r="N776" s="526">
        <v>60</v>
      </c>
      <c r="O776" s="563">
        <f t="shared" ref="O776:O839" si="63">IF(AND(K776&lt;&gt;0,N776&lt;&gt;0),K776/N776,0)</f>
        <v>1260</v>
      </c>
      <c r="P776" s="564">
        <f t="shared" ref="P776:P839" ca="1" si="64">IF(B776&lt;&gt;0,(ROUND((NOW()-B776)/30,0)),0)</f>
        <v>80</v>
      </c>
      <c r="Q776" s="552">
        <f t="shared" ref="Q776:Q839" ca="1" si="65">IF(OR(K776=0,N776=0,P776=0),0,K776-(O776*P776))</f>
        <v>-25200</v>
      </c>
      <c r="R776" s="563">
        <f t="shared" ref="R776:R839" ca="1" si="66">IF(Q776&lt;1,1,Q776)</f>
        <v>1</v>
      </c>
      <c r="S776" s="573" t="s">
        <v>1427</v>
      </c>
    </row>
    <row r="777" spans="1:19" ht="49.5" customHeight="1" x14ac:dyDescent="0.25">
      <c r="B777" s="860">
        <v>43446</v>
      </c>
      <c r="C777" s="558" t="s">
        <v>2349</v>
      </c>
      <c r="D777" s="558"/>
      <c r="E777" s="573" t="s">
        <v>1412</v>
      </c>
      <c r="F777" s="575" t="s">
        <v>1417</v>
      </c>
      <c r="G777" s="549" t="s">
        <v>1418</v>
      </c>
      <c r="H777" s="575">
        <v>501805509</v>
      </c>
      <c r="I777" s="575" t="s">
        <v>318</v>
      </c>
      <c r="J777" s="575" t="s">
        <v>1415</v>
      </c>
      <c r="K777" s="580">
        <v>220800</v>
      </c>
      <c r="L777" s="580">
        <v>50.130299999999998</v>
      </c>
      <c r="M777" s="552">
        <f t="shared" si="62"/>
        <v>4404.5218161471212</v>
      </c>
      <c r="N777" s="526">
        <v>60</v>
      </c>
      <c r="O777" s="563">
        <f t="shared" si="63"/>
        <v>3680</v>
      </c>
      <c r="P777" s="564">
        <f t="shared" ca="1" si="64"/>
        <v>80</v>
      </c>
      <c r="Q777" s="552">
        <f t="shared" ca="1" si="65"/>
        <v>-73600</v>
      </c>
      <c r="R777" s="563">
        <f t="shared" ca="1" si="66"/>
        <v>1</v>
      </c>
      <c r="S777" s="573" t="s">
        <v>1416</v>
      </c>
    </row>
    <row r="778" spans="1:19" ht="45.75" customHeight="1" x14ac:dyDescent="0.25">
      <c r="B778" s="860">
        <v>43446</v>
      </c>
      <c r="C778" s="558" t="s">
        <v>2349</v>
      </c>
      <c r="D778" s="558"/>
      <c r="E778" s="573" t="s">
        <v>1412</v>
      </c>
      <c r="F778" s="575" t="s">
        <v>1520</v>
      </c>
      <c r="G778" s="549" t="s">
        <v>1521</v>
      </c>
      <c r="H778" s="575" t="s">
        <v>28</v>
      </c>
      <c r="I778" s="575" t="s">
        <v>23</v>
      </c>
      <c r="J778" s="575" t="s">
        <v>1512</v>
      </c>
      <c r="K778" s="580">
        <v>150545</v>
      </c>
      <c r="L778" s="580">
        <v>50.130299999999998</v>
      </c>
      <c r="M778" s="552">
        <f t="shared" si="62"/>
        <v>3003.0739891841863</v>
      </c>
      <c r="N778" s="526">
        <v>60</v>
      </c>
      <c r="O778" s="563">
        <f t="shared" si="63"/>
        <v>2509.0833333333335</v>
      </c>
      <c r="P778" s="564">
        <f t="shared" ca="1" si="64"/>
        <v>80</v>
      </c>
      <c r="Q778" s="552">
        <f t="shared" ca="1" si="65"/>
        <v>-50181.666666666686</v>
      </c>
      <c r="R778" s="563">
        <f t="shared" ca="1" si="66"/>
        <v>1</v>
      </c>
      <c r="S778" s="573" t="s">
        <v>1427</v>
      </c>
    </row>
    <row r="779" spans="1:19" ht="60" customHeight="1" x14ac:dyDescent="0.25">
      <c r="B779" s="860">
        <v>43446</v>
      </c>
      <c r="C779" s="558" t="s">
        <v>2349</v>
      </c>
      <c r="D779" s="558"/>
      <c r="E779" s="573" t="s">
        <v>1412</v>
      </c>
      <c r="F779" s="575" t="s">
        <v>1419</v>
      </c>
      <c r="G779" s="549" t="s">
        <v>1420</v>
      </c>
      <c r="H779" s="575">
        <v>301809504</v>
      </c>
      <c r="I779" s="575" t="s">
        <v>318</v>
      </c>
      <c r="J779" s="575" t="s">
        <v>1415</v>
      </c>
      <c r="K779" s="580">
        <v>176640</v>
      </c>
      <c r="L779" s="580">
        <v>50.130299999999998</v>
      </c>
      <c r="M779" s="552">
        <f t="shared" si="62"/>
        <v>3523.6174529176965</v>
      </c>
      <c r="N779" s="526">
        <v>60</v>
      </c>
      <c r="O779" s="563">
        <f t="shared" si="63"/>
        <v>2944</v>
      </c>
      <c r="P779" s="564">
        <f t="shared" ca="1" si="64"/>
        <v>80</v>
      </c>
      <c r="Q779" s="552">
        <f t="shared" ca="1" si="65"/>
        <v>-58880</v>
      </c>
      <c r="R779" s="563">
        <f t="shared" ca="1" si="66"/>
        <v>1</v>
      </c>
      <c r="S779" s="573" t="s">
        <v>1416</v>
      </c>
    </row>
    <row r="780" spans="1:19" ht="53.25" customHeight="1" x14ac:dyDescent="0.25">
      <c r="B780" s="860">
        <v>43446</v>
      </c>
      <c r="C780" s="558" t="s">
        <v>2349</v>
      </c>
      <c r="D780" s="558"/>
      <c r="E780" s="573" t="s">
        <v>1412</v>
      </c>
      <c r="F780" s="575" t="s">
        <v>1421</v>
      </c>
      <c r="G780" s="549" t="s">
        <v>1420</v>
      </c>
      <c r="H780" s="575">
        <v>301809503</v>
      </c>
      <c r="I780" s="575" t="s">
        <v>318</v>
      </c>
      <c r="J780" s="575" t="s">
        <v>1415</v>
      </c>
      <c r="K780" s="580">
        <v>176640</v>
      </c>
      <c r="L780" s="580">
        <v>50.130299999999998</v>
      </c>
      <c r="M780" s="552">
        <f t="shared" si="62"/>
        <v>3523.6174529176965</v>
      </c>
      <c r="N780" s="526">
        <v>60</v>
      </c>
      <c r="O780" s="563">
        <f t="shared" si="63"/>
        <v>2944</v>
      </c>
      <c r="P780" s="564">
        <f t="shared" ca="1" si="64"/>
        <v>80</v>
      </c>
      <c r="Q780" s="552">
        <f t="shared" ca="1" si="65"/>
        <v>-58880</v>
      </c>
      <c r="R780" s="563">
        <f t="shared" ca="1" si="66"/>
        <v>1</v>
      </c>
      <c r="S780" s="573" t="s">
        <v>1422</v>
      </c>
    </row>
    <row r="781" spans="1:19" ht="53.25" customHeight="1" x14ac:dyDescent="0.25">
      <c r="B781" s="356">
        <v>43446</v>
      </c>
      <c r="C781" s="558" t="s">
        <v>2349</v>
      </c>
      <c r="D781" s="558"/>
      <c r="E781" s="575" t="s">
        <v>1412</v>
      </c>
      <c r="F781" s="575" t="s">
        <v>1468</v>
      </c>
      <c r="G781" s="575" t="s">
        <v>1420</v>
      </c>
      <c r="H781" s="575">
        <v>301809502</v>
      </c>
      <c r="I781" s="575" t="s">
        <v>45</v>
      </c>
      <c r="J781" s="575" t="s">
        <v>1469</v>
      </c>
      <c r="K781" s="582">
        <v>176640</v>
      </c>
      <c r="L781" s="575">
        <v>50.130299999999998</v>
      </c>
      <c r="M781" s="575">
        <v>3523.6174529176965</v>
      </c>
      <c r="N781" s="575">
        <v>60</v>
      </c>
      <c r="O781" s="563">
        <f t="shared" si="63"/>
        <v>2944</v>
      </c>
      <c r="P781" s="575">
        <f t="shared" ca="1" si="64"/>
        <v>80</v>
      </c>
      <c r="Q781" s="575">
        <f t="shared" ca="1" si="65"/>
        <v>-58880</v>
      </c>
      <c r="R781" s="563">
        <f t="shared" ca="1" si="66"/>
        <v>1</v>
      </c>
      <c r="S781" s="575" t="s">
        <v>1427</v>
      </c>
    </row>
    <row r="782" spans="1:19" ht="53.25" customHeight="1" x14ac:dyDescent="0.25">
      <c r="B782" s="860">
        <v>43446</v>
      </c>
      <c r="C782" s="558" t="s">
        <v>2349</v>
      </c>
      <c r="D782" s="558"/>
      <c r="E782" s="573" t="s">
        <v>1412</v>
      </c>
      <c r="F782" s="575" t="s">
        <v>1470</v>
      </c>
      <c r="G782" s="549" t="s">
        <v>1420</v>
      </c>
      <c r="H782" s="575">
        <v>301809501</v>
      </c>
      <c r="I782" s="575" t="s">
        <v>45</v>
      </c>
      <c r="J782" s="575" t="s">
        <v>1471</v>
      </c>
      <c r="K782" s="580">
        <v>176640</v>
      </c>
      <c r="L782" s="580">
        <v>50.130299999999998</v>
      </c>
      <c r="M782" s="552">
        <f t="shared" ref="M782:M845" si="67">+K782/L782</f>
        <v>3523.6174529176965</v>
      </c>
      <c r="N782" s="526">
        <v>60</v>
      </c>
      <c r="O782" s="563">
        <f t="shared" si="63"/>
        <v>2944</v>
      </c>
      <c r="P782" s="564">
        <f t="shared" ca="1" si="64"/>
        <v>80</v>
      </c>
      <c r="Q782" s="552">
        <f t="shared" ca="1" si="65"/>
        <v>-58880</v>
      </c>
      <c r="R782" s="563">
        <f t="shared" ca="1" si="66"/>
        <v>1</v>
      </c>
      <c r="S782" s="573" t="s">
        <v>1427</v>
      </c>
    </row>
    <row r="783" spans="1:19" ht="63.75" customHeight="1" x14ac:dyDescent="0.25">
      <c r="B783" s="860">
        <v>43446</v>
      </c>
      <c r="C783" s="558" t="s">
        <v>2349</v>
      </c>
      <c r="D783" s="558"/>
      <c r="E783" s="573" t="s">
        <v>1412</v>
      </c>
      <c r="F783" s="575" t="s">
        <v>1511</v>
      </c>
      <c r="G783" s="549" t="s">
        <v>1420</v>
      </c>
      <c r="H783" s="575">
        <v>301809502</v>
      </c>
      <c r="I783" s="575" t="s">
        <v>23</v>
      </c>
      <c r="J783" s="575" t="s">
        <v>1512</v>
      </c>
      <c r="K783" s="580">
        <v>176640</v>
      </c>
      <c r="L783" s="580">
        <v>50.130299999999998</v>
      </c>
      <c r="M783" s="552">
        <f t="shared" si="67"/>
        <v>3523.6174529176965</v>
      </c>
      <c r="N783" s="526">
        <v>60</v>
      </c>
      <c r="O783" s="563">
        <f t="shared" si="63"/>
        <v>2944</v>
      </c>
      <c r="P783" s="564">
        <f t="shared" ca="1" si="64"/>
        <v>80</v>
      </c>
      <c r="Q783" s="552">
        <f t="shared" ca="1" si="65"/>
        <v>-58880</v>
      </c>
      <c r="R783" s="563">
        <f t="shared" ca="1" si="66"/>
        <v>1</v>
      </c>
      <c r="S783" s="573" t="s">
        <v>1427</v>
      </c>
    </row>
    <row r="784" spans="1:19" ht="80.25" customHeight="1" x14ac:dyDescent="0.25">
      <c r="A784" s="359"/>
      <c r="B784" s="860">
        <v>43501</v>
      </c>
      <c r="C784" s="558" t="s">
        <v>2349</v>
      </c>
      <c r="D784" s="558"/>
      <c r="E784" s="573" t="s">
        <v>1585</v>
      </c>
      <c r="F784" s="575" t="s">
        <v>1589</v>
      </c>
      <c r="G784" s="549" t="s">
        <v>4451</v>
      </c>
      <c r="H784" s="575" t="s">
        <v>28</v>
      </c>
      <c r="I784" s="575" t="s">
        <v>23</v>
      </c>
      <c r="J784" s="575" t="s">
        <v>1512</v>
      </c>
      <c r="K784" s="580">
        <v>5096</v>
      </c>
      <c r="L784" s="580">
        <v>50.130299999999998</v>
      </c>
      <c r="M784" s="552">
        <f t="shared" si="67"/>
        <v>101.65508684368535</v>
      </c>
      <c r="N784" s="526">
        <v>60</v>
      </c>
      <c r="O784" s="563">
        <f t="shared" si="63"/>
        <v>84.933333333333337</v>
      </c>
      <c r="P784" s="564">
        <f t="shared" ca="1" si="64"/>
        <v>78</v>
      </c>
      <c r="Q784" s="552">
        <f t="shared" ca="1" si="65"/>
        <v>-1528.8000000000002</v>
      </c>
      <c r="R784" s="563">
        <f t="shared" ca="1" si="66"/>
        <v>1</v>
      </c>
      <c r="S784" s="573" t="s">
        <v>1587</v>
      </c>
    </row>
    <row r="785" spans="1:19" ht="65.25" customHeight="1" x14ac:dyDescent="0.25">
      <c r="A785" s="359"/>
      <c r="B785" s="860">
        <v>43501</v>
      </c>
      <c r="C785" s="558" t="s">
        <v>2349</v>
      </c>
      <c r="D785" s="558"/>
      <c r="E785" s="573" t="s">
        <v>1585</v>
      </c>
      <c r="F785" s="575" t="s">
        <v>1586</v>
      </c>
      <c r="G785" s="549" t="s">
        <v>4449</v>
      </c>
      <c r="H785" s="575" t="s">
        <v>28</v>
      </c>
      <c r="I785" s="575" t="s">
        <v>23</v>
      </c>
      <c r="J785" s="575" t="s">
        <v>1512</v>
      </c>
      <c r="K785" s="580">
        <v>4368</v>
      </c>
      <c r="L785" s="580">
        <v>50.130299999999998</v>
      </c>
      <c r="M785" s="552">
        <f t="shared" si="67"/>
        <v>87.132931580301744</v>
      </c>
      <c r="N785" s="526">
        <v>60</v>
      </c>
      <c r="O785" s="563">
        <f t="shared" si="63"/>
        <v>72.8</v>
      </c>
      <c r="P785" s="564">
        <f t="shared" ca="1" si="64"/>
        <v>78</v>
      </c>
      <c r="Q785" s="552">
        <f t="shared" ca="1" si="65"/>
        <v>-1310.3999999999996</v>
      </c>
      <c r="R785" s="563">
        <f t="shared" ca="1" si="66"/>
        <v>1</v>
      </c>
      <c r="S785" s="573" t="s">
        <v>1587</v>
      </c>
    </row>
    <row r="786" spans="1:19" ht="72" customHeight="1" x14ac:dyDescent="0.25">
      <c r="A786" s="359"/>
      <c r="B786" s="860">
        <v>43501</v>
      </c>
      <c r="C786" s="558" t="s">
        <v>2349</v>
      </c>
      <c r="D786" s="558"/>
      <c r="E786" s="573" t="s">
        <v>1585</v>
      </c>
      <c r="F786" s="575" t="s">
        <v>1588</v>
      </c>
      <c r="G786" s="549" t="s">
        <v>4450</v>
      </c>
      <c r="H786" s="575" t="s">
        <v>28</v>
      </c>
      <c r="I786" s="575" t="s">
        <v>23</v>
      </c>
      <c r="J786" s="575" t="s">
        <v>1512</v>
      </c>
      <c r="K786" s="580">
        <v>91</v>
      </c>
      <c r="L786" s="580">
        <v>50.130299999999998</v>
      </c>
      <c r="M786" s="552">
        <f t="shared" si="67"/>
        <v>1.8152694079229528</v>
      </c>
      <c r="N786" s="526">
        <v>60</v>
      </c>
      <c r="O786" s="563">
        <f t="shared" si="63"/>
        <v>1.5166666666666666</v>
      </c>
      <c r="P786" s="564">
        <f t="shared" ca="1" si="64"/>
        <v>78</v>
      </c>
      <c r="Q786" s="552">
        <f t="shared" ca="1" si="65"/>
        <v>-27.299999999999997</v>
      </c>
      <c r="R786" s="563">
        <f t="shared" ca="1" si="66"/>
        <v>1</v>
      </c>
      <c r="S786" s="573" t="s">
        <v>1587</v>
      </c>
    </row>
    <row r="787" spans="1:19" ht="65.25" customHeight="1" x14ac:dyDescent="0.25">
      <c r="B787" s="363">
        <v>43654</v>
      </c>
      <c r="C787" s="558" t="s">
        <v>2349</v>
      </c>
      <c r="D787" s="558"/>
      <c r="E787" s="548" t="s">
        <v>1590</v>
      </c>
      <c r="F787" s="548" t="s">
        <v>1591</v>
      </c>
      <c r="G787" s="559" t="s">
        <v>1592</v>
      </c>
      <c r="H787" s="548" t="s">
        <v>28</v>
      </c>
      <c r="I787" s="548" t="s">
        <v>1593</v>
      </c>
      <c r="J787" s="548" t="s">
        <v>1594</v>
      </c>
      <c r="K787" s="580">
        <v>1912000</v>
      </c>
      <c r="L787" s="580">
        <v>50.7102</v>
      </c>
      <c r="M787" s="552">
        <f t="shared" si="67"/>
        <v>37704.446048329526</v>
      </c>
      <c r="N787" s="526">
        <v>60</v>
      </c>
      <c r="O787" s="563">
        <f t="shared" si="63"/>
        <v>31866.666666666668</v>
      </c>
      <c r="P787" s="564">
        <f t="shared" ca="1" si="64"/>
        <v>73</v>
      </c>
      <c r="Q787" s="552">
        <f t="shared" ca="1" si="65"/>
        <v>-414266.66666666698</v>
      </c>
      <c r="R787" s="563">
        <f t="shared" ca="1" si="66"/>
        <v>1</v>
      </c>
      <c r="S787" s="565" t="s">
        <v>1595</v>
      </c>
    </row>
    <row r="788" spans="1:19" ht="28.5" x14ac:dyDescent="0.25">
      <c r="B788" s="363">
        <v>43654</v>
      </c>
      <c r="C788" s="558" t="s">
        <v>2349</v>
      </c>
      <c r="D788" s="558"/>
      <c r="E788" s="548" t="s">
        <v>1590</v>
      </c>
      <c r="F788" s="548" t="s">
        <v>1596</v>
      </c>
      <c r="G788" s="559" t="s">
        <v>1597</v>
      </c>
      <c r="H788" s="548" t="s">
        <v>1598</v>
      </c>
      <c r="I788" s="548" t="s">
        <v>1593</v>
      </c>
      <c r="J788" s="548" t="s">
        <v>1594</v>
      </c>
      <c r="K788" s="580">
        <v>9960</v>
      </c>
      <c r="L788" s="580">
        <v>50.7102</v>
      </c>
      <c r="M788" s="552">
        <f t="shared" si="67"/>
        <v>196.41018966598435</v>
      </c>
      <c r="N788" s="526">
        <v>60</v>
      </c>
      <c r="O788" s="563">
        <f t="shared" si="63"/>
        <v>166</v>
      </c>
      <c r="P788" s="564">
        <f t="shared" ca="1" si="64"/>
        <v>73</v>
      </c>
      <c r="Q788" s="552">
        <f t="shared" ca="1" si="65"/>
        <v>-2158</v>
      </c>
      <c r="R788" s="563">
        <f t="shared" ca="1" si="66"/>
        <v>1</v>
      </c>
      <c r="S788" s="565" t="s">
        <v>1595</v>
      </c>
    </row>
    <row r="789" spans="1:19" ht="39.950000000000003" customHeight="1" x14ac:dyDescent="0.25">
      <c r="B789" s="363">
        <v>43654</v>
      </c>
      <c r="C789" s="558" t="s">
        <v>2349</v>
      </c>
      <c r="D789" s="558"/>
      <c r="E789" s="548" t="s">
        <v>1590</v>
      </c>
      <c r="F789" s="548" t="s">
        <v>1599</v>
      </c>
      <c r="G789" s="559" t="s">
        <v>1597</v>
      </c>
      <c r="H789" s="548" t="s">
        <v>1600</v>
      </c>
      <c r="I789" s="548" t="s">
        <v>1593</v>
      </c>
      <c r="J789" s="548" t="s">
        <v>1594</v>
      </c>
      <c r="K789" s="580">
        <v>9960</v>
      </c>
      <c r="L789" s="580">
        <v>50.7102</v>
      </c>
      <c r="M789" s="552">
        <f t="shared" si="67"/>
        <v>196.41018966598435</v>
      </c>
      <c r="N789" s="526">
        <v>60</v>
      </c>
      <c r="O789" s="563">
        <f t="shared" si="63"/>
        <v>166</v>
      </c>
      <c r="P789" s="564">
        <f t="shared" ca="1" si="64"/>
        <v>73</v>
      </c>
      <c r="Q789" s="552">
        <f t="shared" ca="1" si="65"/>
        <v>-2158</v>
      </c>
      <c r="R789" s="563">
        <f t="shared" ca="1" si="66"/>
        <v>1</v>
      </c>
      <c r="S789" s="565" t="s">
        <v>1595</v>
      </c>
    </row>
    <row r="790" spans="1:19" ht="39.950000000000003" customHeight="1" x14ac:dyDescent="0.25">
      <c r="B790" s="363">
        <v>43654</v>
      </c>
      <c r="C790" s="558" t="s">
        <v>2349</v>
      </c>
      <c r="D790" s="558"/>
      <c r="E790" s="548" t="s">
        <v>1590</v>
      </c>
      <c r="F790" s="548" t="s">
        <v>1601</v>
      </c>
      <c r="G790" s="559" t="s">
        <v>1597</v>
      </c>
      <c r="H790" s="548" t="s">
        <v>1602</v>
      </c>
      <c r="I790" s="548" t="s">
        <v>1593</v>
      </c>
      <c r="J790" s="548" t="s">
        <v>1594</v>
      </c>
      <c r="K790" s="580">
        <v>9960</v>
      </c>
      <c r="L790" s="580">
        <v>50.7102</v>
      </c>
      <c r="M790" s="552">
        <f t="shared" si="67"/>
        <v>196.41018966598435</v>
      </c>
      <c r="N790" s="526">
        <v>60</v>
      </c>
      <c r="O790" s="563">
        <f t="shared" si="63"/>
        <v>166</v>
      </c>
      <c r="P790" s="564">
        <f t="shared" ca="1" si="64"/>
        <v>73</v>
      </c>
      <c r="Q790" s="552">
        <f t="shared" ca="1" si="65"/>
        <v>-2158</v>
      </c>
      <c r="R790" s="563">
        <f t="shared" ca="1" si="66"/>
        <v>1</v>
      </c>
      <c r="S790" s="565" t="s">
        <v>1595</v>
      </c>
    </row>
    <row r="791" spans="1:19" ht="39.950000000000003" customHeight="1" x14ac:dyDescent="0.25">
      <c r="B791" s="363">
        <v>43654</v>
      </c>
      <c r="C791" s="558" t="s">
        <v>2349</v>
      </c>
      <c r="D791" s="558"/>
      <c r="E791" s="548" t="s">
        <v>1590</v>
      </c>
      <c r="F791" s="548" t="s">
        <v>1603</v>
      </c>
      <c r="G791" s="559" t="s">
        <v>1597</v>
      </c>
      <c r="H791" s="548" t="s">
        <v>1604</v>
      </c>
      <c r="I791" s="548" t="s">
        <v>1593</v>
      </c>
      <c r="J791" s="548" t="s">
        <v>1594</v>
      </c>
      <c r="K791" s="580">
        <v>9960</v>
      </c>
      <c r="L791" s="580">
        <v>50.7102</v>
      </c>
      <c r="M791" s="552">
        <f t="shared" si="67"/>
        <v>196.41018966598435</v>
      </c>
      <c r="N791" s="526">
        <v>60</v>
      </c>
      <c r="O791" s="563">
        <f t="shared" si="63"/>
        <v>166</v>
      </c>
      <c r="P791" s="564">
        <f t="shared" ca="1" si="64"/>
        <v>73</v>
      </c>
      <c r="Q791" s="552">
        <f t="shared" ca="1" si="65"/>
        <v>-2158</v>
      </c>
      <c r="R791" s="563">
        <f t="shared" ca="1" si="66"/>
        <v>1</v>
      </c>
      <c r="S791" s="565" t="s">
        <v>1595</v>
      </c>
    </row>
    <row r="792" spans="1:19" ht="39.950000000000003" customHeight="1" x14ac:dyDescent="0.25">
      <c r="B792" s="363">
        <v>43654</v>
      </c>
      <c r="C792" s="558" t="s">
        <v>2349</v>
      </c>
      <c r="D792" s="558"/>
      <c r="E792" s="548" t="s">
        <v>1590</v>
      </c>
      <c r="F792" s="548" t="s">
        <v>1605</v>
      </c>
      <c r="G792" s="559" t="s">
        <v>1597</v>
      </c>
      <c r="H792" s="548" t="s">
        <v>1606</v>
      </c>
      <c r="I792" s="548" t="s">
        <v>1593</v>
      </c>
      <c r="J792" s="548" t="s">
        <v>1594</v>
      </c>
      <c r="K792" s="580">
        <v>9960</v>
      </c>
      <c r="L792" s="580">
        <v>50.7102</v>
      </c>
      <c r="M792" s="552">
        <f t="shared" si="67"/>
        <v>196.41018966598435</v>
      </c>
      <c r="N792" s="526">
        <v>60</v>
      </c>
      <c r="O792" s="563">
        <f t="shared" si="63"/>
        <v>166</v>
      </c>
      <c r="P792" s="564">
        <f t="shared" ca="1" si="64"/>
        <v>73</v>
      </c>
      <c r="Q792" s="552">
        <f t="shared" ca="1" si="65"/>
        <v>-2158</v>
      </c>
      <c r="R792" s="563">
        <f t="shared" ca="1" si="66"/>
        <v>1</v>
      </c>
      <c r="S792" s="565" t="s">
        <v>1595</v>
      </c>
    </row>
    <row r="793" spans="1:19" ht="39.950000000000003" customHeight="1" x14ac:dyDescent="0.25">
      <c r="B793" s="363">
        <v>43654</v>
      </c>
      <c r="C793" s="558" t="s">
        <v>2349</v>
      </c>
      <c r="D793" s="558"/>
      <c r="E793" s="548" t="s">
        <v>1590</v>
      </c>
      <c r="F793" s="548" t="s">
        <v>1607</v>
      </c>
      <c r="G793" s="559" t="s">
        <v>1597</v>
      </c>
      <c r="H793" s="548" t="s">
        <v>1608</v>
      </c>
      <c r="I793" s="548" t="s">
        <v>1593</v>
      </c>
      <c r="J793" s="548" t="s">
        <v>1594</v>
      </c>
      <c r="K793" s="580">
        <v>9960</v>
      </c>
      <c r="L793" s="580">
        <v>50.7102</v>
      </c>
      <c r="M793" s="552">
        <f t="shared" si="67"/>
        <v>196.41018966598435</v>
      </c>
      <c r="N793" s="526">
        <v>60</v>
      </c>
      <c r="O793" s="563">
        <f t="shared" si="63"/>
        <v>166</v>
      </c>
      <c r="P793" s="564">
        <f t="shared" ca="1" si="64"/>
        <v>73</v>
      </c>
      <c r="Q793" s="552">
        <f t="shared" ca="1" si="65"/>
        <v>-2158</v>
      </c>
      <c r="R793" s="563">
        <f t="shared" ca="1" si="66"/>
        <v>1</v>
      </c>
      <c r="S793" s="565" t="s">
        <v>1595</v>
      </c>
    </row>
    <row r="794" spans="1:19" ht="39.950000000000003" customHeight="1" x14ac:dyDescent="0.25">
      <c r="B794" s="363">
        <v>43654</v>
      </c>
      <c r="C794" s="558" t="s">
        <v>2349</v>
      </c>
      <c r="D794" s="558"/>
      <c r="E794" s="548" t="s">
        <v>1590</v>
      </c>
      <c r="F794" s="548" t="s">
        <v>1609</v>
      </c>
      <c r="G794" s="559" t="s">
        <v>1610</v>
      </c>
      <c r="H794" s="548" t="s">
        <v>1611</v>
      </c>
      <c r="I794" s="548" t="s">
        <v>1612</v>
      </c>
      <c r="J794" s="548" t="s">
        <v>1594</v>
      </c>
      <c r="K794" s="580">
        <v>16985</v>
      </c>
      <c r="L794" s="580">
        <v>50.7102</v>
      </c>
      <c r="M794" s="552">
        <f t="shared" si="67"/>
        <v>334.942477055898</v>
      </c>
      <c r="N794" s="526">
        <v>60</v>
      </c>
      <c r="O794" s="563">
        <f t="shared" si="63"/>
        <v>283.08333333333331</v>
      </c>
      <c r="P794" s="564">
        <f t="shared" ca="1" si="64"/>
        <v>73</v>
      </c>
      <c r="Q794" s="552">
        <f t="shared" ca="1" si="65"/>
        <v>-3680.0833333333321</v>
      </c>
      <c r="R794" s="563">
        <f t="shared" ca="1" si="66"/>
        <v>1</v>
      </c>
      <c r="S794" s="565" t="s">
        <v>1595</v>
      </c>
    </row>
    <row r="795" spans="1:19" ht="39.950000000000003" customHeight="1" x14ac:dyDescent="0.25">
      <c r="B795" s="363">
        <v>43654</v>
      </c>
      <c r="C795" s="558" t="s">
        <v>2349</v>
      </c>
      <c r="D795" s="558"/>
      <c r="E795" s="548" t="s">
        <v>1590</v>
      </c>
      <c r="F795" s="548" t="s">
        <v>1613</v>
      </c>
      <c r="G795" s="559" t="s">
        <v>1610</v>
      </c>
      <c r="H795" s="548" t="s">
        <v>1614</v>
      </c>
      <c r="I795" s="548" t="s">
        <v>1612</v>
      </c>
      <c r="J795" s="548" t="s">
        <v>1594</v>
      </c>
      <c r="K795" s="580">
        <v>16985</v>
      </c>
      <c r="L795" s="580">
        <v>50.7102</v>
      </c>
      <c r="M795" s="552">
        <f t="shared" si="67"/>
        <v>334.942477055898</v>
      </c>
      <c r="N795" s="526">
        <v>60</v>
      </c>
      <c r="O795" s="563">
        <f t="shared" si="63"/>
        <v>283.08333333333331</v>
      </c>
      <c r="P795" s="564">
        <f t="shared" ca="1" si="64"/>
        <v>73</v>
      </c>
      <c r="Q795" s="552">
        <f t="shared" ca="1" si="65"/>
        <v>-3680.0833333333321</v>
      </c>
      <c r="R795" s="563">
        <f t="shared" ca="1" si="66"/>
        <v>1</v>
      </c>
      <c r="S795" s="565" t="s">
        <v>1595</v>
      </c>
    </row>
    <row r="796" spans="1:19" ht="39.950000000000003" customHeight="1" x14ac:dyDescent="0.25">
      <c r="B796" s="363">
        <v>43654</v>
      </c>
      <c r="C796" s="558" t="s">
        <v>2349</v>
      </c>
      <c r="D796" s="558"/>
      <c r="E796" s="548" t="s">
        <v>1590</v>
      </c>
      <c r="F796" s="548" t="s">
        <v>1615</v>
      </c>
      <c r="G796" s="559" t="s">
        <v>1610</v>
      </c>
      <c r="H796" s="548" t="s">
        <v>1616</v>
      </c>
      <c r="I796" s="548" t="s">
        <v>1612</v>
      </c>
      <c r="J796" s="548" t="s">
        <v>1594</v>
      </c>
      <c r="K796" s="580">
        <v>16985</v>
      </c>
      <c r="L796" s="580">
        <v>50.7102</v>
      </c>
      <c r="M796" s="552">
        <f t="shared" si="67"/>
        <v>334.942477055898</v>
      </c>
      <c r="N796" s="526">
        <v>60</v>
      </c>
      <c r="O796" s="563">
        <f t="shared" si="63"/>
        <v>283.08333333333331</v>
      </c>
      <c r="P796" s="564">
        <f t="shared" ca="1" si="64"/>
        <v>73</v>
      </c>
      <c r="Q796" s="552">
        <f t="shared" ca="1" si="65"/>
        <v>-3680.0833333333321</v>
      </c>
      <c r="R796" s="563">
        <f t="shared" ca="1" si="66"/>
        <v>1</v>
      </c>
      <c r="S796" s="565" t="s">
        <v>1595</v>
      </c>
    </row>
    <row r="797" spans="1:19" ht="39.950000000000003" customHeight="1" x14ac:dyDescent="0.25">
      <c r="B797" s="363">
        <v>43654</v>
      </c>
      <c r="C797" s="558" t="s">
        <v>2349</v>
      </c>
      <c r="D797" s="558"/>
      <c r="E797" s="548" t="s">
        <v>1590</v>
      </c>
      <c r="F797" s="548" t="s">
        <v>1617</v>
      </c>
      <c r="G797" s="559" t="s">
        <v>1610</v>
      </c>
      <c r="H797" s="548" t="s">
        <v>1618</v>
      </c>
      <c r="I797" s="548" t="s">
        <v>1612</v>
      </c>
      <c r="J797" s="548" t="s">
        <v>1594</v>
      </c>
      <c r="K797" s="580">
        <v>16985</v>
      </c>
      <c r="L797" s="580">
        <v>50.7102</v>
      </c>
      <c r="M797" s="552">
        <f t="shared" si="67"/>
        <v>334.942477055898</v>
      </c>
      <c r="N797" s="526">
        <v>60</v>
      </c>
      <c r="O797" s="563">
        <f t="shared" si="63"/>
        <v>283.08333333333331</v>
      </c>
      <c r="P797" s="564">
        <f t="shared" ca="1" si="64"/>
        <v>73</v>
      </c>
      <c r="Q797" s="552">
        <f t="shared" ca="1" si="65"/>
        <v>-3680.0833333333321</v>
      </c>
      <c r="R797" s="563">
        <f t="shared" ca="1" si="66"/>
        <v>1</v>
      </c>
      <c r="S797" s="565" t="s">
        <v>1595</v>
      </c>
    </row>
    <row r="798" spans="1:19" ht="39.950000000000003" customHeight="1" x14ac:dyDescent="0.25">
      <c r="B798" s="363">
        <v>43654</v>
      </c>
      <c r="C798" s="558" t="s">
        <v>2349</v>
      </c>
      <c r="D798" s="558"/>
      <c r="E798" s="548" t="s">
        <v>1590</v>
      </c>
      <c r="F798" s="548" t="s">
        <v>1619</v>
      </c>
      <c r="G798" s="559" t="s">
        <v>1610</v>
      </c>
      <c r="H798" s="548" t="s">
        <v>1620</v>
      </c>
      <c r="I798" s="548" t="s">
        <v>1612</v>
      </c>
      <c r="J798" s="548" t="s">
        <v>1594</v>
      </c>
      <c r="K798" s="580">
        <v>16985</v>
      </c>
      <c r="L798" s="580">
        <v>50.7102</v>
      </c>
      <c r="M798" s="552">
        <f t="shared" si="67"/>
        <v>334.942477055898</v>
      </c>
      <c r="N798" s="526">
        <v>60</v>
      </c>
      <c r="O798" s="563">
        <f t="shared" si="63"/>
        <v>283.08333333333331</v>
      </c>
      <c r="P798" s="564">
        <f t="shared" ca="1" si="64"/>
        <v>73</v>
      </c>
      <c r="Q798" s="552">
        <f t="shared" ca="1" si="65"/>
        <v>-3680.0833333333321</v>
      </c>
      <c r="R798" s="563">
        <f t="shared" ca="1" si="66"/>
        <v>1</v>
      </c>
      <c r="S798" s="565" t="s">
        <v>1595</v>
      </c>
    </row>
    <row r="799" spans="1:19" ht="39.950000000000003" customHeight="1" x14ac:dyDescent="0.25">
      <c r="B799" s="363">
        <v>43654</v>
      </c>
      <c r="C799" s="558" t="s">
        <v>2349</v>
      </c>
      <c r="D799" s="558"/>
      <c r="E799" s="548" t="s">
        <v>1590</v>
      </c>
      <c r="F799" s="548" t="s">
        <v>1621</v>
      </c>
      <c r="G799" s="559" t="s">
        <v>1610</v>
      </c>
      <c r="H799" s="548" t="s">
        <v>1622</v>
      </c>
      <c r="I799" s="548" t="s">
        <v>1612</v>
      </c>
      <c r="J799" s="548" t="s">
        <v>1594</v>
      </c>
      <c r="K799" s="580">
        <v>16985</v>
      </c>
      <c r="L799" s="580">
        <v>50.7102</v>
      </c>
      <c r="M799" s="552">
        <f t="shared" si="67"/>
        <v>334.942477055898</v>
      </c>
      <c r="N799" s="526">
        <v>60</v>
      </c>
      <c r="O799" s="563">
        <f t="shared" si="63"/>
        <v>283.08333333333331</v>
      </c>
      <c r="P799" s="564">
        <f t="shared" ca="1" si="64"/>
        <v>73</v>
      </c>
      <c r="Q799" s="552">
        <f t="shared" ca="1" si="65"/>
        <v>-3680.0833333333321</v>
      </c>
      <c r="R799" s="563">
        <f t="shared" ca="1" si="66"/>
        <v>1</v>
      </c>
      <c r="S799" s="565" t="s">
        <v>1595</v>
      </c>
    </row>
    <row r="800" spans="1:19" ht="39.950000000000003" customHeight="1" x14ac:dyDescent="0.25">
      <c r="B800" s="363">
        <v>43703</v>
      </c>
      <c r="C800" s="558" t="s">
        <v>2349</v>
      </c>
      <c r="D800" s="558"/>
      <c r="E800" s="548" t="s">
        <v>1623</v>
      </c>
      <c r="F800" s="548" t="s">
        <v>1624</v>
      </c>
      <c r="G800" s="559" t="s">
        <v>1625</v>
      </c>
      <c r="H800" s="548" t="s">
        <v>1626</v>
      </c>
      <c r="I800" s="548" t="s">
        <v>1627</v>
      </c>
      <c r="J800" s="548" t="s">
        <v>19</v>
      </c>
      <c r="K800" s="580">
        <v>63474.58</v>
      </c>
      <c r="L800" s="580">
        <v>51.151899999999998</v>
      </c>
      <c r="M800" s="552">
        <f t="shared" si="67"/>
        <v>1240.903661447571</v>
      </c>
      <c r="N800" s="526">
        <v>60</v>
      </c>
      <c r="O800" s="563">
        <f t="shared" si="63"/>
        <v>1057.9096666666667</v>
      </c>
      <c r="P800" s="564">
        <f t="shared" ca="1" si="64"/>
        <v>72</v>
      </c>
      <c r="Q800" s="552">
        <f t="shared" ca="1" si="65"/>
        <v>-12694.915999999997</v>
      </c>
      <c r="R800" s="563">
        <f t="shared" ca="1" si="66"/>
        <v>1</v>
      </c>
      <c r="S800" s="565" t="s">
        <v>1628</v>
      </c>
    </row>
    <row r="801" spans="2:19" ht="39.950000000000003" customHeight="1" x14ac:dyDescent="0.25">
      <c r="B801" s="363">
        <v>43703</v>
      </c>
      <c r="C801" s="558" t="s">
        <v>2349</v>
      </c>
      <c r="D801" s="558"/>
      <c r="E801" s="548" t="s">
        <v>1623</v>
      </c>
      <c r="F801" s="548" t="s">
        <v>1629</v>
      </c>
      <c r="G801" s="559" t="s">
        <v>1625</v>
      </c>
      <c r="H801" s="548" t="s">
        <v>1630</v>
      </c>
      <c r="I801" s="548" t="s">
        <v>1631</v>
      </c>
      <c r="J801" s="548" t="s">
        <v>19</v>
      </c>
      <c r="K801" s="580">
        <v>63474.58</v>
      </c>
      <c r="L801" s="580">
        <v>51.151899999999998</v>
      </c>
      <c r="M801" s="552">
        <f t="shared" si="67"/>
        <v>1240.903661447571</v>
      </c>
      <c r="N801" s="526">
        <v>60</v>
      </c>
      <c r="O801" s="563">
        <f t="shared" si="63"/>
        <v>1057.9096666666667</v>
      </c>
      <c r="P801" s="564">
        <f t="shared" ca="1" si="64"/>
        <v>72</v>
      </c>
      <c r="Q801" s="552">
        <f t="shared" ca="1" si="65"/>
        <v>-12694.915999999997</v>
      </c>
      <c r="R801" s="563">
        <f t="shared" ca="1" si="66"/>
        <v>1</v>
      </c>
      <c r="S801" s="565" t="s">
        <v>1628</v>
      </c>
    </row>
    <row r="802" spans="2:19" ht="39.950000000000003" customHeight="1" x14ac:dyDescent="0.25">
      <c r="B802" s="363">
        <v>43745</v>
      </c>
      <c r="C802" s="558" t="s">
        <v>2349</v>
      </c>
      <c r="D802" s="558"/>
      <c r="E802" s="548" t="s">
        <v>1632</v>
      </c>
      <c r="F802" s="548" t="s">
        <v>1650</v>
      </c>
      <c r="G802" s="559" t="s">
        <v>1651</v>
      </c>
      <c r="H802" s="571" t="s">
        <v>1652</v>
      </c>
      <c r="I802" s="571" t="s">
        <v>1593</v>
      </c>
      <c r="J802" s="548" t="s">
        <v>1594</v>
      </c>
      <c r="K802" s="580">
        <v>1447.02</v>
      </c>
      <c r="L802" s="580">
        <v>52.259300000000003</v>
      </c>
      <c r="M802" s="552">
        <f t="shared" si="67"/>
        <v>27.689234260696182</v>
      </c>
      <c r="N802" s="526">
        <v>60</v>
      </c>
      <c r="O802" s="563">
        <f t="shared" si="63"/>
        <v>24.117000000000001</v>
      </c>
      <c r="P802" s="564">
        <f t="shared" ca="1" si="64"/>
        <v>70</v>
      </c>
      <c r="Q802" s="552">
        <f t="shared" ca="1" si="65"/>
        <v>-241.17000000000007</v>
      </c>
      <c r="R802" s="563">
        <f t="shared" ca="1" si="66"/>
        <v>1</v>
      </c>
      <c r="S802" s="565" t="s">
        <v>1103</v>
      </c>
    </row>
    <row r="803" spans="2:19" ht="39.950000000000003" customHeight="1" x14ac:dyDescent="0.25">
      <c r="B803" s="363">
        <v>43745</v>
      </c>
      <c r="C803" s="558" t="s">
        <v>2349</v>
      </c>
      <c r="D803" s="558"/>
      <c r="E803" s="548" t="s">
        <v>1632</v>
      </c>
      <c r="F803" s="548" t="s">
        <v>1653</v>
      </c>
      <c r="G803" s="559" t="s">
        <v>1651</v>
      </c>
      <c r="H803" s="571" t="s">
        <v>1654</v>
      </c>
      <c r="I803" s="548" t="s">
        <v>1593</v>
      </c>
      <c r="J803" s="548" t="s">
        <v>1594</v>
      </c>
      <c r="K803" s="580">
        <v>1447.02</v>
      </c>
      <c r="L803" s="580">
        <v>52.259300000000003</v>
      </c>
      <c r="M803" s="552">
        <f t="shared" si="67"/>
        <v>27.689234260696182</v>
      </c>
      <c r="N803" s="526">
        <v>60</v>
      </c>
      <c r="O803" s="563">
        <f t="shared" si="63"/>
        <v>24.117000000000001</v>
      </c>
      <c r="P803" s="564">
        <f t="shared" ca="1" si="64"/>
        <v>70</v>
      </c>
      <c r="Q803" s="552">
        <f t="shared" ca="1" si="65"/>
        <v>-241.17000000000007</v>
      </c>
      <c r="R803" s="563">
        <f t="shared" ca="1" si="66"/>
        <v>1</v>
      </c>
      <c r="S803" s="565" t="s">
        <v>1103</v>
      </c>
    </row>
    <row r="804" spans="2:19" ht="57" customHeight="1" x14ac:dyDescent="0.25">
      <c r="B804" s="363">
        <v>43745</v>
      </c>
      <c r="C804" s="558" t="s">
        <v>2349</v>
      </c>
      <c r="D804" s="558"/>
      <c r="E804" s="548" t="s">
        <v>1632</v>
      </c>
      <c r="F804" s="548">
        <v>31211</v>
      </c>
      <c r="G804" s="559" t="s">
        <v>1651</v>
      </c>
      <c r="H804" s="571" t="s">
        <v>1655</v>
      </c>
      <c r="I804" s="548" t="s">
        <v>1593</v>
      </c>
      <c r="J804" s="548" t="s">
        <v>1594</v>
      </c>
      <c r="K804" s="580">
        <v>1447.02</v>
      </c>
      <c r="L804" s="580">
        <v>52.259300000000003</v>
      </c>
      <c r="M804" s="552">
        <f t="shared" si="67"/>
        <v>27.689234260696182</v>
      </c>
      <c r="N804" s="526">
        <v>60</v>
      </c>
      <c r="O804" s="563">
        <f t="shared" si="63"/>
        <v>24.117000000000001</v>
      </c>
      <c r="P804" s="564">
        <f t="shared" ca="1" si="64"/>
        <v>70</v>
      </c>
      <c r="Q804" s="552">
        <f t="shared" ca="1" si="65"/>
        <v>-241.17000000000007</v>
      </c>
      <c r="R804" s="563">
        <f t="shared" ca="1" si="66"/>
        <v>1</v>
      </c>
      <c r="S804" s="565" t="s">
        <v>1103</v>
      </c>
    </row>
    <row r="805" spans="2:19" ht="51.75" customHeight="1" x14ac:dyDescent="0.25">
      <c r="B805" s="363">
        <v>43745</v>
      </c>
      <c r="C805" s="558" t="s">
        <v>2349</v>
      </c>
      <c r="D805" s="558"/>
      <c r="E805" s="548" t="s">
        <v>1632</v>
      </c>
      <c r="F805" s="548" t="s">
        <v>1656</v>
      </c>
      <c r="G805" s="559" t="s">
        <v>1651</v>
      </c>
      <c r="H805" s="571" t="s">
        <v>1657</v>
      </c>
      <c r="I805" s="548" t="s">
        <v>1593</v>
      </c>
      <c r="J805" s="548" t="s">
        <v>1594</v>
      </c>
      <c r="K805" s="580">
        <v>1447.02</v>
      </c>
      <c r="L805" s="580">
        <v>52.259300000000003</v>
      </c>
      <c r="M805" s="552">
        <f t="shared" si="67"/>
        <v>27.689234260696182</v>
      </c>
      <c r="N805" s="526">
        <v>60</v>
      </c>
      <c r="O805" s="563">
        <f t="shared" si="63"/>
        <v>24.117000000000001</v>
      </c>
      <c r="P805" s="564">
        <f t="shared" ca="1" si="64"/>
        <v>70</v>
      </c>
      <c r="Q805" s="552">
        <f t="shared" ca="1" si="65"/>
        <v>-241.17000000000007</v>
      </c>
      <c r="R805" s="563">
        <f t="shared" ca="1" si="66"/>
        <v>1</v>
      </c>
      <c r="S805" s="565" t="s">
        <v>1103</v>
      </c>
    </row>
    <row r="806" spans="2:19" ht="48.75" customHeight="1" x14ac:dyDescent="0.25">
      <c r="B806" s="363">
        <v>43745</v>
      </c>
      <c r="C806" s="558" t="s">
        <v>2349</v>
      </c>
      <c r="D806" s="558"/>
      <c r="E806" s="548" t="s">
        <v>1632</v>
      </c>
      <c r="F806" s="548" t="s">
        <v>1658</v>
      </c>
      <c r="G806" s="559" t="s">
        <v>1651</v>
      </c>
      <c r="H806" s="571" t="s">
        <v>1659</v>
      </c>
      <c r="I806" s="548" t="s">
        <v>1593</v>
      </c>
      <c r="J806" s="548" t="s">
        <v>1594</v>
      </c>
      <c r="K806" s="580">
        <v>1447.02</v>
      </c>
      <c r="L806" s="580">
        <v>52.259300000000003</v>
      </c>
      <c r="M806" s="552">
        <f t="shared" si="67"/>
        <v>27.689234260696182</v>
      </c>
      <c r="N806" s="526">
        <v>60</v>
      </c>
      <c r="O806" s="563">
        <f t="shared" si="63"/>
        <v>24.117000000000001</v>
      </c>
      <c r="P806" s="564">
        <f t="shared" ca="1" si="64"/>
        <v>70</v>
      </c>
      <c r="Q806" s="552">
        <f t="shared" ca="1" si="65"/>
        <v>-241.17000000000007</v>
      </c>
      <c r="R806" s="563">
        <f t="shared" ca="1" si="66"/>
        <v>1</v>
      </c>
      <c r="S806" s="565" t="s">
        <v>1103</v>
      </c>
    </row>
    <row r="807" spans="2:19" ht="39.950000000000003" customHeight="1" x14ac:dyDescent="0.25">
      <c r="B807" s="363">
        <v>43745</v>
      </c>
      <c r="C807" s="558" t="s">
        <v>2349</v>
      </c>
      <c r="D807" s="558"/>
      <c r="E807" s="548" t="s">
        <v>1632</v>
      </c>
      <c r="F807" s="548" t="s">
        <v>1660</v>
      </c>
      <c r="G807" s="559" t="s">
        <v>1651</v>
      </c>
      <c r="H807" s="571" t="s">
        <v>1661</v>
      </c>
      <c r="I807" s="548" t="s">
        <v>1593</v>
      </c>
      <c r="J807" s="548" t="s">
        <v>1594</v>
      </c>
      <c r="K807" s="580">
        <v>1447.02</v>
      </c>
      <c r="L807" s="580">
        <v>52.259300000000003</v>
      </c>
      <c r="M807" s="552">
        <f t="shared" si="67"/>
        <v>27.689234260696182</v>
      </c>
      <c r="N807" s="526">
        <v>60</v>
      </c>
      <c r="O807" s="563">
        <f t="shared" si="63"/>
        <v>24.117000000000001</v>
      </c>
      <c r="P807" s="564">
        <f t="shared" ca="1" si="64"/>
        <v>70</v>
      </c>
      <c r="Q807" s="552">
        <f t="shared" ca="1" si="65"/>
        <v>-241.17000000000007</v>
      </c>
      <c r="R807" s="563">
        <f t="shared" ca="1" si="66"/>
        <v>1</v>
      </c>
      <c r="S807" s="565" t="s">
        <v>1103</v>
      </c>
    </row>
    <row r="808" spans="2:19" ht="39.950000000000003" customHeight="1" x14ac:dyDescent="0.25">
      <c r="B808" s="363">
        <v>43745</v>
      </c>
      <c r="C808" s="558" t="s">
        <v>2349</v>
      </c>
      <c r="D808" s="558"/>
      <c r="E808" s="548" t="s">
        <v>1632</v>
      </c>
      <c r="F808" s="548" t="s">
        <v>1662</v>
      </c>
      <c r="G808" s="559" t="s">
        <v>1651</v>
      </c>
      <c r="H808" s="571" t="s">
        <v>1663</v>
      </c>
      <c r="I808" s="548" t="s">
        <v>1593</v>
      </c>
      <c r="J808" s="548" t="s">
        <v>1594</v>
      </c>
      <c r="K808" s="580">
        <v>1447.02</v>
      </c>
      <c r="L808" s="580">
        <v>52.259300000000003</v>
      </c>
      <c r="M808" s="552">
        <f t="shared" si="67"/>
        <v>27.689234260696182</v>
      </c>
      <c r="N808" s="526">
        <v>60</v>
      </c>
      <c r="O808" s="563">
        <f t="shared" si="63"/>
        <v>24.117000000000001</v>
      </c>
      <c r="P808" s="564">
        <f t="shared" ca="1" si="64"/>
        <v>70</v>
      </c>
      <c r="Q808" s="552">
        <f t="shared" ca="1" si="65"/>
        <v>-241.17000000000007</v>
      </c>
      <c r="R808" s="563">
        <f t="shared" ca="1" si="66"/>
        <v>1</v>
      </c>
      <c r="S808" s="565" t="s">
        <v>1103</v>
      </c>
    </row>
    <row r="809" spans="2:19" ht="39.950000000000003" customHeight="1" x14ac:dyDescent="0.25">
      <c r="B809" s="363">
        <v>43745</v>
      </c>
      <c r="C809" s="558" t="s">
        <v>2349</v>
      </c>
      <c r="D809" s="558"/>
      <c r="E809" s="548" t="s">
        <v>1632</v>
      </c>
      <c r="F809" s="548" t="s">
        <v>1664</v>
      </c>
      <c r="G809" s="559" t="s">
        <v>1651</v>
      </c>
      <c r="H809" s="571" t="s">
        <v>1665</v>
      </c>
      <c r="I809" s="548" t="s">
        <v>1593</v>
      </c>
      <c r="J809" s="548" t="s">
        <v>1594</v>
      </c>
      <c r="K809" s="580">
        <v>1447.02</v>
      </c>
      <c r="L809" s="580">
        <v>52.259300000000003</v>
      </c>
      <c r="M809" s="552">
        <f t="shared" si="67"/>
        <v>27.689234260696182</v>
      </c>
      <c r="N809" s="526">
        <v>60</v>
      </c>
      <c r="O809" s="563">
        <f t="shared" si="63"/>
        <v>24.117000000000001</v>
      </c>
      <c r="P809" s="564">
        <f t="shared" ca="1" si="64"/>
        <v>70</v>
      </c>
      <c r="Q809" s="552">
        <f t="shared" ca="1" si="65"/>
        <v>-241.17000000000007</v>
      </c>
      <c r="R809" s="563">
        <f t="shared" ca="1" si="66"/>
        <v>1</v>
      </c>
      <c r="S809" s="565" t="s">
        <v>1103</v>
      </c>
    </row>
    <row r="810" spans="2:19" ht="39.950000000000003" customHeight="1" x14ac:dyDescent="0.25">
      <c r="B810" s="363">
        <v>43745</v>
      </c>
      <c r="C810" s="558" t="s">
        <v>2349</v>
      </c>
      <c r="D810" s="558"/>
      <c r="E810" s="548" t="s">
        <v>1632</v>
      </c>
      <c r="F810" s="548" t="s">
        <v>1633</v>
      </c>
      <c r="G810" s="559" t="s">
        <v>1634</v>
      </c>
      <c r="H810" s="548" t="s">
        <v>1635</v>
      </c>
      <c r="I810" s="548" t="s">
        <v>1593</v>
      </c>
      <c r="J810" s="548" t="s">
        <v>1594</v>
      </c>
      <c r="K810" s="580">
        <v>37847.46</v>
      </c>
      <c r="L810" s="580">
        <v>52.259300000000003</v>
      </c>
      <c r="M810" s="552">
        <f t="shared" si="67"/>
        <v>724.22439642322036</v>
      </c>
      <c r="N810" s="526">
        <v>60</v>
      </c>
      <c r="O810" s="563">
        <f t="shared" si="63"/>
        <v>630.79099999999994</v>
      </c>
      <c r="P810" s="564">
        <f t="shared" ca="1" si="64"/>
        <v>70</v>
      </c>
      <c r="Q810" s="552">
        <f t="shared" ca="1" si="65"/>
        <v>-6307.9099999999962</v>
      </c>
      <c r="R810" s="563">
        <f t="shared" ca="1" si="66"/>
        <v>1</v>
      </c>
      <c r="S810" s="565" t="s">
        <v>1103</v>
      </c>
    </row>
    <row r="811" spans="2:19" ht="39.950000000000003" customHeight="1" x14ac:dyDescent="0.25">
      <c r="B811" s="363">
        <v>43745</v>
      </c>
      <c r="C811" s="558" t="s">
        <v>2349</v>
      </c>
      <c r="D811" s="558"/>
      <c r="E811" s="548" t="s">
        <v>1632</v>
      </c>
      <c r="F811" s="548" t="s">
        <v>1636</v>
      </c>
      <c r="G811" s="559" t="s">
        <v>1634</v>
      </c>
      <c r="H811" s="548" t="s">
        <v>1637</v>
      </c>
      <c r="I811" s="548" t="s">
        <v>1593</v>
      </c>
      <c r="J811" s="548" t="s">
        <v>1594</v>
      </c>
      <c r="K811" s="580">
        <v>37847.46</v>
      </c>
      <c r="L811" s="580">
        <v>52.259300000000003</v>
      </c>
      <c r="M811" s="552">
        <f t="shared" si="67"/>
        <v>724.22439642322036</v>
      </c>
      <c r="N811" s="526">
        <v>60</v>
      </c>
      <c r="O811" s="563">
        <f t="shared" si="63"/>
        <v>630.79099999999994</v>
      </c>
      <c r="P811" s="564">
        <f t="shared" ca="1" si="64"/>
        <v>70</v>
      </c>
      <c r="Q811" s="552">
        <f t="shared" ca="1" si="65"/>
        <v>-6307.9099999999962</v>
      </c>
      <c r="R811" s="563">
        <f t="shared" ca="1" si="66"/>
        <v>1</v>
      </c>
      <c r="S811" s="565" t="s">
        <v>1103</v>
      </c>
    </row>
    <row r="812" spans="2:19" ht="39.950000000000003" customHeight="1" x14ac:dyDescent="0.25">
      <c r="B812" s="363">
        <v>43745</v>
      </c>
      <c r="C812" s="558" t="s">
        <v>2349</v>
      </c>
      <c r="D812" s="558"/>
      <c r="E812" s="548" t="s">
        <v>1632</v>
      </c>
      <c r="F812" s="548" t="s">
        <v>1638</v>
      </c>
      <c r="G812" s="559" t="s">
        <v>1634</v>
      </c>
      <c r="H812" s="548" t="s">
        <v>1639</v>
      </c>
      <c r="I812" s="548" t="s">
        <v>1593</v>
      </c>
      <c r="J812" s="548" t="s">
        <v>1594</v>
      </c>
      <c r="K812" s="580">
        <v>37847.46</v>
      </c>
      <c r="L812" s="580">
        <v>52.259300000000003</v>
      </c>
      <c r="M812" s="552">
        <f t="shared" si="67"/>
        <v>724.22439642322036</v>
      </c>
      <c r="N812" s="526">
        <v>60</v>
      </c>
      <c r="O812" s="563">
        <f t="shared" si="63"/>
        <v>630.79099999999994</v>
      </c>
      <c r="P812" s="564">
        <f t="shared" ca="1" si="64"/>
        <v>70</v>
      </c>
      <c r="Q812" s="552">
        <f t="shared" ca="1" si="65"/>
        <v>-6307.9099999999962</v>
      </c>
      <c r="R812" s="563">
        <f t="shared" ca="1" si="66"/>
        <v>1</v>
      </c>
      <c r="S812" s="565" t="s">
        <v>1103</v>
      </c>
    </row>
    <row r="813" spans="2:19" ht="39.950000000000003" customHeight="1" x14ac:dyDescent="0.25">
      <c r="B813" s="363">
        <v>43745</v>
      </c>
      <c r="C813" s="558" t="s">
        <v>2349</v>
      </c>
      <c r="D813" s="558"/>
      <c r="E813" s="548" t="s">
        <v>1632</v>
      </c>
      <c r="F813" s="548" t="s">
        <v>1640</v>
      </c>
      <c r="G813" s="559" t="s">
        <v>1634</v>
      </c>
      <c r="H813" s="548" t="s">
        <v>1641</v>
      </c>
      <c r="I813" s="548" t="s">
        <v>1593</v>
      </c>
      <c r="J813" s="548" t="s">
        <v>1594</v>
      </c>
      <c r="K813" s="580">
        <v>37847.46</v>
      </c>
      <c r="L813" s="580">
        <v>52.259300000000003</v>
      </c>
      <c r="M813" s="552">
        <f t="shared" si="67"/>
        <v>724.22439642322036</v>
      </c>
      <c r="N813" s="526">
        <v>60</v>
      </c>
      <c r="O813" s="563">
        <f t="shared" si="63"/>
        <v>630.79099999999994</v>
      </c>
      <c r="P813" s="564">
        <f t="shared" ca="1" si="64"/>
        <v>70</v>
      </c>
      <c r="Q813" s="552">
        <f t="shared" ca="1" si="65"/>
        <v>-6307.9099999999962</v>
      </c>
      <c r="R813" s="563">
        <f t="shared" ca="1" si="66"/>
        <v>1</v>
      </c>
      <c r="S813" s="565" t="s">
        <v>1103</v>
      </c>
    </row>
    <row r="814" spans="2:19" ht="39.950000000000003" customHeight="1" x14ac:dyDescent="0.25">
      <c r="B814" s="363">
        <v>43745</v>
      </c>
      <c r="C814" s="558" t="s">
        <v>2349</v>
      </c>
      <c r="D814" s="558"/>
      <c r="E814" s="548" t="s">
        <v>1632</v>
      </c>
      <c r="F814" s="548" t="s">
        <v>1642</v>
      </c>
      <c r="G814" s="559" t="s">
        <v>1634</v>
      </c>
      <c r="H814" s="548" t="s">
        <v>1643</v>
      </c>
      <c r="I814" s="548" t="s">
        <v>1593</v>
      </c>
      <c r="J814" s="548" t="s">
        <v>1594</v>
      </c>
      <c r="K814" s="580">
        <v>37847.46</v>
      </c>
      <c r="L814" s="580">
        <v>52.259300000000003</v>
      </c>
      <c r="M814" s="552">
        <f t="shared" si="67"/>
        <v>724.22439642322036</v>
      </c>
      <c r="N814" s="526">
        <v>60</v>
      </c>
      <c r="O814" s="563">
        <f t="shared" si="63"/>
        <v>630.79099999999994</v>
      </c>
      <c r="P814" s="564">
        <f t="shared" ca="1" si="64"/>
        <v>70</v>
      </c>
      <c r="Q814" s="552">
        <f t="shared" ca="1" si="65"/>
        <v>-6307.9099999999962</v>
      </c>
      <c r="R814" s="563">
        <f t="shared" ca="1" si="66"/>
        <v>1</v>
      </c>
      <c r="S814" s="565" t="s">
        <v>1103</v>
      </c>
    </row>
    <row r="815" spans="2:19" ht="39.950000000000003" customHeight="1" x14ac:dyDescent="0.25">
      <c r="B815" s="363">
        <v>43745</v>
      </c>
      <c r="C815" s="558" t="s">
        <v>2349</v>
      </c>
      <c r="D815" s="558"/>
      <c r="E815" s="548" t="s">
        <v>1632</v>
      </c>
      <c r="F815" s="548" t="s">
        <v>1644</v>
      </c>
      <c r="G815" s="559" t="s">
        <v>1634</v>
      </c>
      <c r="H815" s="548" t="s">
        <v>1645</v>
      </c>
      <c r="I815" s="548" t="s">
        <v>1593</v>
      </c>
      <c r="J815" s="548" t="s">
        <v>1594</v>
      </c>
      <c r="K815" s="580">
        <v>37847.46</v>
      </c>
      <c r="L815" s="580">
        <v>52.259300000000003</v>
      </c>
      <c r="M815" s="552">
        <f t="shared" si="67"/>
        <v>724.22439642322036</v>
      </c>
      <c r="N815" s="526">
        <v>60</v>
      </c>
      <c r="O815" s="563">
        <f t="shared" si="63"/>
        <v>630.79099999999994</v>
      </c>
      <c r="P815" s="564">
        <f t="shared" ca="1" si="64"/>
        <v>70</v>
      </c>
      <c r="Q815" s="552">
        <f t="shared" ca="1" si="65"/>
        <v>-6307.9099999999962</v>
      </c>
      <c r="R815" s="563">
        <f t="shared" ca="1" si="66"/>
        <v>1</v>
      </c>
      <c r="S815" s="565" t="s">
        <v>1103</v>
      </c>
    </row>
    <row r="816" spans="2:19" ht="39.950000000000003" customHeight="1" x14ac:dyDescent="0.25">
      <c r="B816" s="363">
        <v>43745</v>
      </c>
      <c r="C816" s="558" t="s">
        <v>2349</v>
      </c>
      <c r="D816" s="558"/>
      <c r="E816" s="548" t="s">
        <v>1632</v>
      </c>
      <c r="F816" s="548" t="s">
        <v>1646</v>
      </c>
      <c r="G816" s="559" t="s">
        <v>1634</v>
      </c>
      <c r="H816" s="548" t="s">
        <v>1647</v>
      </c>
      <c r="I816" s="548" t="s">
        <v>1593</v>
      </c>
      <c r="J816" s="548" t="s">
        <v>1594</v>
      </c>
      <c r="K816" s="580">
        <v>37847.46</v>
      </c>
      <c r="L816" s="580">
        <v>52.259300000000003</v>
      </c>
      <c r="M816" s="552">
        <f t="shared" si="67"/>
        <v>724.22439642322036</v>
      </c>
      <c r="N816" s="526">
        <v>60</v>
      </c>
      <c r="O816" s="563">
        <f t="shared" si="63"/>
        <v>630.79099999999994</v>
      </c>
      <c r="P816" s="564">
        <f t="shared" ca="1" si="64"/>
        <v>70</v>
      </c>
      <c r="Q816" s="552">
        <f t="shared" ca="1" si="65"/>
        <v>-6307.9099999999962</v>
      </c>
      <c r="R816" s="563">
        <f t="shared" ca="1" si="66"/>
        <v>1</v>
      </c>
      <c r="S816" s="565" t="s">
        <v>1103</v>
      </c>
    </row>
    <row r="817" spans="2:19" ht="39.950000000000003" customHeight="1" x14ac:dyDescent="0.25">
      <c r="B817" s="363">
        <v>43745</v>
      </c>
      <c r="C817" s="558" t="s">
        <v>2349</v>
      </c>
      <c r="D817" s="558"/>
      <c r="E817" s="548" t="s">
        <v>1632</v>
      </c>
      <c r="F817" s="548" t="s">
        <v>1648</v>
      </c>
      <c r="G817" s="559" t="s">
        <v>1634</v>
      </c>
      <c r="H817" s="548" t="s">
        <v>1649</v>
      </c>
      <c r="I817" s="548" t="s">
        <v>1593</v>
      </c>
      <c r="J817" s="548" t="s">
        <v>1594</v>
      </c>
      <c r="K817" s="580">
        <v>37847.46</v>
      </c>
      <c r="L817" s="580">
        <v>52.259300000000003</v>
      </c>
      <c r="M817" s="552">
        <f t="shared" si="67"/>
        <v>724.22439642322036</v>
      </c>
      <c r="N817" s="526">
        <v>60</v>
      </c>
      <c r="O817" s="563">
        <f t="shared" si="63"/>
        <v>630.79099999999994</v>
      </c>
      <c r="P817" s="564">
        <f t="shared" ca="1" si="64"/>
        <v>70</v>
      </c>
      <c r="Q817" s="552">
        <f t="shared" ca="1" si="65"/>
        <v>-6307.9099999999962</v>
      </c>
      <c r="R817" s="563">
        <f t="shared" ca="1" si="66"/>
        <v>1</v>
      </c>
      <c r="S817" s="565" t="s">
        <v>1103</v>
      </c>
    </row>
    <row r="818" spans="2:19" ht="51" customHeight="1" x14ac:dyDescent="0.25">
      <c r="B818" s="363">
        <v>43840</v>
      </c>
      <c r="C818" s="558" t="s">
        <v>2349</v>
      </c>
      <c r="D818" s="558"/>
      <c r="E818" s="548" t="s">
        <v>1667</v>
      </c>
      <c r="F818" s="548" t="s">
        <v>1671</v>
      </c>
      <c r="G818" s="549" t="s">
        <v>1502</v>
      </c>
      <c r="H818" s="548" t="s">
        <v>1672</v>
      </c>
      <c r="I818" s="548" t="s">
        <v>4367</v>
      </c>
      <c r="J818" s="575" t="s">
        <v>1666</v>
      </c>
      <c r="K818" s="580">
        <v>4008.03</v>
      </c>
      <c r="L818" s="580">
        <v>52.259300000000003</v>
      </c>
      <c r="M818" s="552">
        <f t="shared" si="67"/>
        <v>76.695057147722991</v>
      </c>
      <c r="N818" s="526">
        <v>60</v>
      </c>
      <c r="O818" s="563">
        <f t="shared" si="63"/>
        <v>66.8005</v>
      </c>
      <c r="P818" s="564">
        <f t="shared" ca="1" si="64"/>
        <v>67</v>
      </c>
      <c r="Q818" s="552">
        <f t="shared" ca="1" si="65"/>
        <v>-467.60349999999971</v>
      </c>
      <c r="R818" s="563">
        <f t="shared" ca="1" si="66"/>
        <v>1</v>
      </c>
      <c r="S818" s="565" t="s">
        <v>1278</v>
      </c>
    </row>
    <row r="819" spans="2:19" ht="47.1" customHeight="1" x14ac:dyDescent="0.25">
      <c r="B819" s="363">
        <v>43840</v>
      </c>
      <c r="C819" s="558" t="s">
        <v>2349</v>
      </c>
      <c r="D819" s="558"/>
      <c r="E819" s="548" t="s">
        <v>1667</v>
      </c>
      <c r="F819" s="548" t="s">
        <v>1668</v>
      </c>
      <c r="G819" s="549" t="s">
        <v>1669</v>
      </c>
      <c r="H819" s="548" t="s">
        <v>1670</v>
      </c>
      <c r="I819" s="548" t="s">
        <v>4367</v>
      </c>
      <c r="J819" s="575" t="s">
        <v>1666</v>
      </c>
      <c r="K819" s="580">
        <v>16596.77</v>
      </c>
      <c r="L819" s="580">
        <v>52.259300000000003</v>
      </c>
      <c r="M819" s="552">
        <f t="shared" si="67"/>
        <v>317.58500400885583</v>
      </c>
      <c r="N819" s="526">
        <v>60</v>
      </c>
      <c r="O819" s="563">
        <f t="shared" si="63"/>
        <v>276.61283333333336</v>
      </c>
      <c r="P819" s="564">
        <f t="shared" ca="1" si="64"/>
        <v>67</v>
      </c>
      <c r="Q819" s="552">
        <f t="shared" ca="1" si="65"/>
        <v>-1936.289833333336</v>
      </c>
      <c r="R819" s="563">
        <f t="shared" ca="1" si="66"/>
        <v>1</v>
      </c>
      <c r="S819" s="565" t="s">
        <v>1278</v>
      </c>
    </row>
    <row r="820" spans="2:19" ht="57.95" customHeight="1" x14ac:dyDescent="0.25">
      <c r="B820" s="363">
        <v>43840</v>
      </c>
      <c r="C820" s="558" t="s">
        <v>2349</v>
      </c>
      <c r="D820" s="558"/>
      <c r="E820" s="548" t="s">
        <v>1667</v>
      </c>
      <c r="F820" s="548" t="s">
        <v>1675</v>
      </c>
      <c r="G820" s="549" t="s">
        <v>1505</v>
      </c>
      <c r="H820" s="548" t="s">
        <v>28</v>
      </c>
      <c r="I820" s="548" t="s">
        <v>4367</v>
      </c>
      <c r="J820" s="575" t="s">
        <v>1666</v>
      </c>
      <c r="K820" s="580">
        <v>15315.82</v>
      </c>
      <c r="L820" s="580">
        <v>52.259300000000003</v>
      </c>
      <c r="M820" s="552">
        <f t="shared" si="67"/>
        <v>293.07357733456053</v>
      </c>
      <c r="N820" s="526">
        <v>60</v>
      </c>
      <c r="O820" s="563">
        <f t="shared" si="63"/>
        <v>255.26366666666667</v>
      </c>
      <c r="P820" s="564">
        <f t="shared" ca="1" si="64"/>
        <v>67</v>
      </c>
      <c r="Q820" s="552">
        <f t="shared" ca="1" si="65"/>
        <v>-1786.845666666668</v>
      </c>
      <c r="R820" s="563">
        <f t="shared" ca="1" si="66"/>
        <v>1</v>
      </c>
      <c r="S820" s="565" t="s">
        <v>1278</v>
      </c>
    </row>
    <row r="821" spans="2:19" ht="57.95" customHeight="1" x14ac:dyDescent="0.25">
      <c r="B821" s="363">
        <v>43840</v>
      </c>
      <c r="C821" s="558" t="s">
        <v>2349</v>
      </c>
      <c r="D821" s="558"/>
      <c r="E821" s="548" t="s">
        <v>1667</v>
      </c>
      <c r="F821" s="548" t="s">
        <v>1673</v>
      </c>
      <c r="G821" s="559" t="s">
        <v>1674</v>
      </c>
      <c r="H821" s="548" t="s">
        <v>28</v>
      </c>
      <c r="I821" s="548" t="s">
        <v>4367</v>
      </c>
      <c r="J821" s="575" t="s">
        <v>1666</v>
      </c>
      <c r="K821" s="580">
        <v>51844.79</v>
      </c>
      <c r="L821" s="580">
        <v>52.259300000000003</v>
      </c>
      <c r="M821" s="552">
        <f t="shared" si="67"/>
        <v>992.06820604179541</v>
      </c>
      <c r="N821" s="526">
        <v>60</v>
      </c>
      <c r="O821" s="563">
        <f t="shared" si="63"/>
        <v>864.07983333333334</v>
      </c>
      <c r="P821" s="564">
        <f t="shared" ca="1" si="64"/>
        <v>67</v>
      </c>
      <c r="Q821" s="552">
        <f t="shared" ca="1" si="65"/>
        <v>-6048.5588333333362</v>
      </c>
      <c r="R821" s="563">
        <f t="shared" ca="1" si="66"/>
        <v>1</v>
      </c>
      <c r="S821" s="565" t="s">
        <v>1278</v>
      </c>
    </row>
    <row r="822" spans="2:19" ht="47.1" customHeight="1" x14ac:dyDescent="0.25">
      <c r="B822" s="363">
        <v>43887</v>
      </c>
      <c r="C822" s="558" t="s">
        <v>2349</v>
      </c>
      <c r="D822" s="558"/>
      <c r="E822" s="548" t="s">
        <v>1676</v>
      </c>
      <c r="F822" s="548" t="s">
        <v>1683</v>
      </c>
      <c r="G822" s="559" t="s">
        <v>1684</v>
      </c>
      <c r="H822" s="548" t="s">
        <v>1685</v>
      </c>
      <c r="I822" s="548" t="s">
        <v>4367</v>
      </c>
      <c r="J822" s="575" t="s">
        <v>1666</v>
      </c>
      <c r="K822" s="580">
        <v>28777.84</v>
      </c>
      <c r="L822" s="580">
        <v>53.388800000000003</v>
      </c>
      <c r="M822" s="552">
        <f t="shared" si="67"/>
        <v>539.02391512826659</v>
      </c>
      <c r="N822" s="526">
        <v>60</v>
      </c>
      <c r="O822" s="563">
        <f t="shared" si="63"/>
        <v>479.63066666666668</v>
      </c>
      <c r="P822" s="564">
        <f t="shared" ca="1" si="64"/>
        <v>65</v>
      </c>
      <c r="Q822" s="552">
        <f t="shared" ca="1" si="65"/>
        <v>-2398.1533333333355</v>
      </c>
      <c r="R822" s="563">
        <f t="shared" ca="1" si="66"/>
        <v>1</v>
      </c>
      <c r="S822" s="565" t="s">
        <v>1427</v>
      </c>
    </row>
    <row r="823" spans="2:19" ht="47.1" customHeight="1" x14ac:dyDescent="0.25">
      <c r="B823" s="363">
        <v>43887</v>
      </c>
      <c r="C823" s="558" t="s">
        <v>2349</v>
      </c>
      <c r="D823" s="558"/>
      <c r="E823" s="548" t="s">
        <v>1676</v>
      </c>
      <c r="F823" s="548" t="s">
        <v>1686</v>
      </c>
      <c r="G823" s="559" t="s">
        <v>1684</v>
      </c>
      <c r="H823" s="548" t="s">
        <v>1687</v>
      </c>
      <c r="I823" s="548" t="s">
        <v>4367</v>
      </c>
      <c r="J823" s="575" t="s">
        <v>1666</v>
      </c>
      <c r="K823" s="580">
        <v>28777.84</v>
      </c>
      <c r="L823" s="580">
        <v>53.388800000000003</v>
      </c>
      <c r="M823" s="552">
        <f t="shared" si="67"/>
        <v>539.02391512826659</v>
      </c>
      <c r="N823" s="526">
        <v>60</v>
      </c>
      <c r="O823" s="563">
        <f t="shared" si="63"/>
        <v>479.63066666666668</v>
      </c>
      <c r="P823" s="564">
        <f t="shared" ca="1" si="64"/>
        <v>65</v>
      </c>
      <c r="Q823" s="552">
        <f t="shared" ca="1" si="65"/>
        <v>-2398.1533333333355</v>
      </c>
      <c r="R823" s="563">
        <f t="shared" ca="1" si="66"/>
        <v>1</v>
      </c>
      <c r="S823" s="565" t="s">
        <v>1427</v>
      </c>
    </row>
    <row r="824" spans="2:19" ht="47.1" customHeight="1" x14ac:dyDescent="0.25">
      <c r="B824" s="363">
        <v>43887</v>
      </c>
      <c r="C824" s="558" t="s">
        <v>2349</v>
      </c>
      <c r="D824" s="558"/>
      <c r="E824" s="548" t="s">
        <v>1676</v>
      </c>
      <c r="F824" s="548" t="s">
        <v>1701</v>
      </c>
      <c r="G824" s="549" t="s">
        <v>4456</v>
      </c>
      <c r="H824" s="548" t="s">
        <v>28</v>
      </c>
      <c r="I824" s="548" t="s">
        <v>4367</v>
      </c>
      <c r="J824" s="575" t="s">
        <v>1666</v>
      </c>
      <c r="K824" s="580">
        <v>25280.32</v>
      </c>
      <c r="L824" s="580">
        <v>53.388800000000003</v>
      </c>
      <c r="M824" s="552">
        <f t="shared" si="67"/>
        <v>473.51354591225123</v>
      </c>
      <c r="N824" s="526">
        <v>60</v>
      </c>
      <c r="O824" s="563">
        <f t="shared" si="63"/>
        <v>421.33866666666665</v>
      </c>
      <c r="P824" s="564">
        <f t="shared" ca="1" si="64"/>
        <v>65</v>
      </c>
      <c r="Q824" s="552">
        <f t="shared" ca="1" si="65"/>
        <v>-2106.6933333333327</v>
      </c>
      <c r="R824" s="563">
        <f t="shared" ca="1" si="66"/>
        <v>1</v>
      </c>
      <c r="S824" s="565" t="s">
        <v>1427</v>
      </c>
    </row>
    <row r="825" spans="2:19" ht="47.1" customHeight="1" x14ac:dyDescent="0.25">
      <c r="B825" s="363">
        <v>43887</v>
      </c>
      <c r="C825" s="558" t="s">
        <v>2349</v>
      </c>
      <c r="D825" s="558"/>
      <c r="E825" s="548" t="s">
        <v>1676</v>
      </c>
      <c r="F825" s="548" t="s">
        <v>1694</v>
      </c>
      <c r="G825" s="549" t="s">
        <v>4455</v>
      </c>
      <c r="H825" s="548" t="s">
        <v>28</v>
      </c>
      <c r="I825" s="548" t="s">
        <v>4367</v>
      </c>
      <c r="J825" s="575" t="s">
        <v>1666</v>
      </c>
      <c r="K825" s="580">
        <v>7363.2</v>
      </c>
      <c r="L825" s="580">
        <v>53.388800000000003</v>
      </c>
      <c r="M825" s="552">
        <f t="shared" si="67"/>
        <v>137.9165667705586</v>
      </c>
      <c r="N825" s="526">
        <v>60</v>
      </c>
      <c r="O825" s="563">
        <f t="shared" si="63"/>
        <v>122.72</v>
      </c>
      <c r="P825" s="564">
        <f t="shared" ca="1" si="64"/>
        <v>65</v>
      </c>
      <c r="Q825" s="552">
        <f t="shared" ca="1" si="65"/>
        <v>-613.60000000000036</v>
      </c>
      <c r="R825" s="563">
        <f t="shared" ca="1" si="66"/>
        <v>1</v>
      </c>
      <c r="S825" s="565" t="s">
        <v>1427</v>
      </c>
    </row>
    <row r="826" spans="2:19" ht="47.1" customHeight="1" x14ac:dyDescent="0.25">
      <c r="B826" s="363">
        <v>43887</v>
      </c>
      <c r="C826" s="558" t="s">
        <v>2349</v>
      </c>
      <c r="D826" s="558"/>
      <c r="E826" s="548" t="s">
        <v>1676</v>
      </c>
      <c r="F826" s="548" t="s">
        <v>1697</v>
      </c>
      <c r="G826" s="549" t="s">
        <v>1698</v>
      </c>
      <c r="H826" s="548" t="s">
        <v>28</v>
      </c>
      <c r="I826" s="548" t="s">
        <v>4367</v>
      </c>
      <c r="J826" s="575" t="s">
        <v>1666</v>
      </c>
      <c r="K826" s="580">
        <v>26078</v>
      </c>
      <c r="L826" s="580">
        <v>53.388800000000003</v>
      </c>
      <c r="M826" s="552">
        <f t="shared" si="67"/>
        <v>488.45450731239509</v>
      </c>
      <c r="N826" s="526">
        <v>60</v>
      </c>
      <c r="O826" s="563">
        <f t="shared" si="63"/>
        <v>434.63333333333333</v>
      </c>
      <c r="P826" s="564">
        <f t="shared" ca="1" si="64"/>
        <v>65</v>
      </c>
      <c r="Q826" s="552">
        <f t="shared" ca="1" si="65"/>
        <v>-2173.1666666666679</v>
      </c>
      <c r="R826" s="563">
        <f t="shared" ca="1" si="66"/>
        <v>1</v>
      </c>
      <c r="S826" s="565" t="s">
        <v>1427</v>
      </c>
    </row>
    <row r="827" spans="2:19" ht="47.1" customHeight="1" x14ac:dyDescent="0.25">
      <c r="B827" s="363">
        <v>43887</v>
      </c>
      <c r="C827" s="558" t="s">
        <v>2349</v>
      </c>
      <c r="D827" s="558"/>
      <c r="E827" s="548" t="s">
        <v>1676</v>
      </c>
      <c r="F827" s="548" t="s">
        <v>1691</v>
      </c>
      <c r="G827" s="549" t="s">
        <v>1692</v>
      </c>
      <c r="H827" s="548" t="s">
        <v>28</v>
      </c>
      <c r="I827" s="548" t="s">
        <v>4367</v>
      </c>
      <c r="J827" s="575" t="s">
        <v>1666</v>
      </c>
      <c r="K827" s="580">
        <v>14726.4</v>
      </c>
      <c r="L827" s="580">
        <v>53.388800000000003</v>
      </c>
      <c r="M827" s="552">
        <f t="shared" si="67"/>
        <v>275.83313354111721</v>
      </c>
      <c r="N827" s="526">
        <v>60</v>
      </c>
      <c r="O827" s="563">
        <f t="shared" si="63"/>
        <v>245.44</v>
      </c>
      <c r="P827" s="564">
        <f t="shared" ca="1" si="64"/>
        <v>65</v>
      </c>
      <c r="Q827" s="552">
        <f t="shared" ca="1" si="65"/>
        <v>-1227.2000000000007</v>
      </c>
      <c r="R827" s="563">
        <f t="shared" ca="1" si="66"/>
        <v>1</v>
      </c>
      <c r="S827" s="565" t="s">
        <v>1427</v>
      </c>
    </row>
    <row r="828" spans="2:19" ht="47.1" customHeight="1" x14ac:dyDescent="0.25">
      <c r="B828" s="363">
        <v>43887</v>
      </c>
      <c r="C828" s="558" t="s">
        <v>2349</v>
      </c>
      <c r="D828" s="558"/>
      <c r="E828" s="548" t="s">
        <v>1676</v>
      </c>
      <c r="F828" s="548" t="s">
        <v>1693</v>
      </c>
      <c r="G828" s="549" t="s">
        <v>1692</v>
      </c>
      <c r="H828" s="548" t="s">
        <v>28</v>
      </c>
      <c r="I828" s="548" t="s">
        <v>4367</v>
      </c>
      <c r="J828" s="575" t="s">
        <v>1666</v>
      </c>
      <c r="K828" s="580">
        <v>14726.4</v>
      </c>
      <c r="L828" s="580">
        <v>53.388800000000003</v>
      </c>
      <c r="M828" s="552">
        <f t="shared" si="67"/>
        <v>275.83313354111721</v>
      </c>
      <c r="N828" s="526">
        <v>60</v>
      </c>
      <c r="O828" s="563">
        <f t="shared" si="63"/>
        <v>245.44</v>
      </c>
      <c r="P828" s="564">
        <f t="shared" ca="1" si="64"/>
        <v>65</v>
      </c>
      <c r="Q828" s="552">
        <f t="shared" ca="1" si="65"/>
        <v>-1227.2000000000007</v>
      </c>
      <c r="R828" s="563">
        <f t="shared" ca="1" si="66"/>
        <v>1</v>
      </c>
      <c r="S828" s="565" t="s">
        <v>1427</v>
      </c>
    </row>
    <row r="829" spans="2:19" ht="47.1" customHeight="1" x14ac:dyDescent="0.25">
      <c r="B829" s="363">
        <v>43887</v>
      </c>
      <c r="C829" s="558" t="s">
        <v>2349</v>
      </c>
      <c r="D829" s="558"/>
      <c r="E829" s="548" t="s">
        <v>1676</v>
      </c>
      <c r="F829" s="548" t="s">
        <v>1695</v>
      </c>
      <c r="G829" s="549" t="s">
        <v>1696</v>
      </c>
      <c r="H829" s="548">
        <v>2019090958</v>
      </c>
      <c r="I829" s="548" t="s">
        <v>4367</v>
      </c>
      <c r="J829" s="575" t="s">
        <v>1666</v>
      </c>
      <c r="K829" s="580">
        <v>92040</v>
      </c>
      <c r="L829" s="580">
        <v>53.388800000000003</v>
      </c>
      <c r="M829" s="552">
        <f t="shared" si="67"/>
        <v>1723.9570846319825</v>
      </c>
      <c r="N829" s="526">
        <v>60</v>
      </c>
      <c r="O829" s="563">
        <f t="shared" si="63"/>
        <v>1534</v>
      </c>
      <c r="P829" s="564">
        <f t="shared" ca="1" si="64"/>
        <v>65</v>
      </c>
      <c r="Q829" s="552">
        <f t="shared" ca="1" si="65"/>
        <v>-7670</v>
      </c>
      <c r="R829" s="563">
        <f t="shared" ca="1" si="66"/>
        <v>1</v>
      </c>
      <c r="S829" s="565" t="s">
        <v>1427</v>
      </c>
    </row>
    <row r="830" spans="2:19" ht="47.1" customHeight="1" x14ac:dyDescent="0.25">
      <c r="B830" s="363">
        <v>43887</v>
      </c>
      <c r="C830" s="558" t="s">
        <v>2349</v>
      </c>
      <c r="D830" s="558"/>
      <c r="E830" s="548" t="s">
        <v>1676</v>
      </c>
      <c r="F830" s="548" t="s">
        <v>1699</v>
      </c>
      <c r="G830" s="549" t="s">
        <v>1442</v>
      </c>
      <c r="H830" s="548" t="s">
        <v>28</v>
      </c>
      <c r="I830" s="548" t="s">
        <v>4367</v>
      </c>
      <c r="J830" s="575" t="s">
        <v>1666</v>
      </c>
      <c r="K830" s="580">
        <v>17794.400000000001</v>
      </c>
      <c r="L830" s="580">
        <v>53.388800000000003</v>
      </c>
      <c r="M830" s="552">
        <f t="shared" si="67"/>
        <v>333.29836969551667</v>
      </c>
      <c r="N830" s="526">
        <v>60</v>
      </c>
      <c r="O830" s="563">
        <f t="shared" si="63"/>
        <v>296.57333333333338</v>
      </c>
      <c r="P830" s="564">
        <f t="shared" ca="1" si="64"/>
        <v>65</v>
      </c>
      <c r="Q830" s="552">
        <f t="shared" ca="1" si="65"/>
        <v>-1482.8666666666686</v>
      </c>
      <c r="R830" s="563">
        <f t="shared" ca="1" si="66"/>
        <v>1</v>
      </c>
      <c r="S830" s="565" t="s">
        <v>1427</v>
      </c>
    </row>
    <row r="831" spans="2:19" ht="47.1" customHeight="1" x14ac:dyDescent="0.25">
      <c r="B831" s="363">
        <v>43887</v>
      </c>
      <c r="C831" s="558" t="s">
        <v>2349</v>
      </c>
      <c r="D831" s="558"/>
      <c r="E831" s="548" t="s">
        <v>1676</v>
      </c>
      <c r="F831" s="548" t="s">
        <v>1700</v>
      </c>
      <c r="G831" s="549" t="s">
        <v>1442</v>
      </c>
      <c r="H831" s="548" t="s">
        <v>28</v>
      </c>
      <c r="I831" s="548" t="s">
        <v>4367</v>
      </c>
      <c r="J831" s="575" t="s">
        <v>1666</v>
      </c>
      <c r="K831" s="580">
        <v>17794.400000000001</v>
      </c>
      <c r="L831" s="580">
        <v>53.388800000000003</v>
      </c>
      <c r="M831" s="552">
        <f t="shared" si="67"/>
        <v>333.29836969551667</v>
      </c>
      <c r="N831" s="526">
        <v>60</v>
      </c>
      <c r="O831" s="563">
        <f t="shared" si="63"/>
        <v>296.57333333333338</v>
      </c>
      <c r="P831" s="564">
        <f t="shared" ca="1" si="64"/>
        <v>65</v>
      </c>
      <c r="Q831" s="552">
        <f t="shared" ca="1" si="65"/>
        <v>-1482.8666666666686</v>
      </c>
      <c r="R831" s="563">
        <f t="shared" ca="1" si="66"/>
        <v>1</v>
      </c>
      <c r="S831" s="565" t="s">
        <v>1427</v>
      </c>
    </row>
    <row r="832" spans="2:19" ht="47.1" customHeight="1" x14ac:dyDescent="0.25">
      <c r="B832" s="363">
        <v>43887</v>
      </c>
      <c r="C832" s="558" t="s">
        <v>2349</v>
      </c>
      <c r="D832" s="558"/>
      <c r="E832" s="548" t="s">
        <v>1676</v>
      </c>
      <c r="F832" s="548" t="s">
        <v>1690</v>
      </c>
      <c r="G832" s="549" t="s">
        <v>4454</v>
      </c>
      <c r="H832" s="548" t="s">
        <v>28</v>
      </c>
      <c r="I832" s="548" t="s">
        <v>4367</v>
      </c>
      <c r="J832" s="575" t="s">
        <v>1666</v>
      </c>
      <c r="K832" s="580">
        <v>6626.88</v>
      </c>
      <c r="L832" s="580">
        <v>53.388800000000003</v>
      </c>
      <c r="M832" s="552">
        <f t="shared" si="67"/>
        <v>124.12491009350275</v>
      </c>
      <c r="N832" s="526">
        <v>60</v>
      </c>
      <c r="O832" s="563">
        <f t="shared" si="63"/>
        <v>110.44800000000001</v>
      </c>
      <c r="P832" s="564">
        <f t="shared" ca="1" si="64"/>
        <v>65</v>
      </c>
      <c r="Q832" s="552">
        <f t="shared" ca="1" si="65"/>
        <v>-552.24000000000069</v>
      </c>
      <c r="R832" s="563">
        <f t="shared" ca="1" si="66"/>
        <v>1</v>
      </c>
      <c r="S832" s="565" t="s">
        <v>1427</v>
      </c>
    </row>
    <row r="833" spans="1:19" ht="47.1" customHeight="1" x14ac:dyDescent="0.25">
      <c r="B833" s="363">
        <v>43887</v>
      </c>
      <c r="C833" s="558" t="s">
        <v>2349</v>
      </c>
      <c r="D833" s="558"/>
      <c r="E833" s="548" t="s">
        <v>1676</v>
      </c>
      <c r="F833" s="548" t="s">
        <v>1689</v>
      </c>
      <c r="G833" s="549" t="s">
        <v>4453</v>
      </c>
      <c r="H833" s="548" t="s">
        <v>28</v>
      </c>
      <c r="I833" s="548" t="s">
        <v>4367</v>
      </c>
      <c r="J833" s="575" t="s">
        <v>1666</v>
      </c>
      <c r="K833" s="580">
        <v>7316</v>
      </c>
      <c r="L833" s="580">
        <v>53.388800000000003</v>
      </c>
      <c r="M833" s="552">
        <f t="shared" si="67"/>
        <v>137.03248621433707</v>
      </c>
      <c r="N833" s="526">
        <v>60</v>
      </c>
      <c r="O833" s="563">
        <f t="shared" si="63"/>
        <v>121.93333333333334</v>
      </c>
      <c r="P833" s="564">
        <f t="shared" ca="1" si="64"/>
        <v>65</v>
      </c>
      <c r="Q833" s="552">
        <f t="shared" ca="1" si="65"/>
        <v>-609.66666666666697</v>
      </c>
      <c r="R833" s="563">
        <f t="shared" ca="1" si="66"/>
        <v>1</v>
      </c>
      <c r="S833" s="565" t="s">
        <v>1427</v>
      </c>
    </row>
    <row r="834" spans="1:19" ht="47.1" customHeight="1" x14ac:dyDescent="0.25">
      <c r="B834" s="363">
        <v>43887</v>
      </c>
      <c r="C834" s="558" t="s">
        <v>2349</v>
      </c>
      <c r="D834" s="558"/>
      <c r="E834" s="548" t="s">
        <v>1676</v>
      </c>
      <c r="F834" s="548" t="s">
        <v>1688</v>
      </c>
      <c r="G834" s="549" t="s">
        <v>4452</v>
      </c>
      <c r="H834" s="548" t="s">
        <v>28</v>
      </c>
      <c r="I834" s="548" t="s">
        <v>4367</v>
      </c>
      <c r="J834" s="575" t="s">
        <v>1666</v>
      </c>
      <c r="K834" s="580">
        <v>1840.8</v>
      </c>
      <c r="L834" s="580">
        <v>53.388800000000003</v>
      </c>
      <c r="M834" s="552">
        <f t="shared" si="67"/>
        <v>34.479141692639651</v>
      </c>
      <c r="N834" s="526">
        <v>60</v>
      </c>
      <c r="O834" s="563">
        <f t="shared" si="63"/>
        <v>30.68</v>
      </c>
      <c r="P834" s="564">
        <f t="shared" ca="1" si="64"/>
        <v>65</v>
      </c>
      <c r="Q834" s="552">
        <f t="shared" ca="1" si="65"/>
        <v>-153.40000000000009</v>
      </c>
      <c r="R834" s="563">
        <f t="shared" ca="1" si="66"/>
        <v>1</v>
      </c>
      <c r="S834" s="565" t="s">
        <v>1427</v>
      </c>
    </row>
    <row r="835" spans="1:19" ht="47.1" customHeight="1" x14ac:dyDescent="0.25">
      <c r="B835" s="363">
        <v>43887</v>
      </c>
      <c r="C835" s="558" t="s">
        <v>2349</v>
      </c>
      <c r="D835" s="558"/>
      <c r="E835" s="548" t="s">
        <v>1676</v>
      </c>
      <c r="F835" s="548" t="s">
        <v>1677</v>
      </c>
      <c r="G835" s="559" t="s">
        <v>1678</v>
      </c>
      <c r="H835" s="548" t="s">
        <v>28</v>
      </c>
      <c r="I835" s="548" t="s">
        <v>4367</v>
      </c>
      <c r="J835" s="575" t="s">
        <v>1666</v>
      </c>
      <c r="K835" s="580">
        <v>3681.6</v>
      </c>
      <c r="L835" s="580">
        <v>53.388800000000003</v>
      </c>
      <c r="M835" s="552">
        <f t="shared" si="67"/>
        <v>68.958283385279302</v>
      </c>
      <c r="N835" s="526">
        <v>60</v>
      </c>
      <c r="O835" s="563">
        <f t="shared" si="63"/>
        <v>61.36</v>
      </c>
      <c r="P835" s="564">
        <f t="shared" ca="1" si="64"/>
        <v>65</v>
      </c>
      <c r="Q835" s="552">
        <f t="shared" ca="1" si="65"/>
        <v>-306.80000000000018</v>
      </c>
      <c r="R835" s="563">
        <f t="shared" ca="1" si="66"/>
        <v>1</v>
      </c>
      <c r="S835" s="565" t="s">
        <v>1427</v>
      </c>
    </row>
    <row r="836" spans="1:19" ht="47.1" customHeight="1" x14ac:dyDescent="0.25">
      <c r="B836" s="363">
        <v>43887</v>
      </c>
      <c r="C836" s="558" t="s">
        <v>2349</v>
      </c>
      <c r="D836" s="558"/>
      <c r="E836" s="548" t="s">
        <v>1676</v>
      </c>
      <c r="F836" s="548" t="s">
        <v>1679</v>
      </c>
      <c r="G836" s="559" t="s">
        <v>1678</v>
      </c>
      <c r="H836" s="548" t="s">
        <v>28</v>
      </c>
      <c r="I836" s="548" t="s">
        <v>4367</v>
      </c>
      <c r="J836" s="575" t="s">
        <v>1666</v>
      </c>
      <c r="K836" s="580">
        <v>3681.6</v>
      </c>
      <c r="L836" s="580">
        <v>53.388800000000003</v>
      </c>
      <c r="M836" s="552">
        <f t="shared" si="67"/>
        <v>68.958283385279302</v>
      </c>
      <c r="N836" s="526">
        <v>60</v>
      </c>
      <c r="O836" s="563">
        <f t="shared" si="63"/>
        <v>61.36</v>
      </c>
      <c r="P836" s="564">
        <f t="shared" ca="1" si="64"/>
        <v>65</v>
      </c>
      <c r="Q836" s="552">
        <f t="shared" ca="1" si="65"/>
        <v>-306.80000000000018</v>
      </c>
      <c r="R836" s="563">
        <f t="shared" ca="1" si="66"/>
        <v>1</v>
      </c>
      <c r="S836" s="565" t="s">
        <v>1427</v>
      </c>
    </row>
    <row r="837" spans="1:19" ht="47.1" customHeight="1" x14ac:dyDescent="0.25">
      <c r="B837" s="363">
        <v>43887</v>
      </c>
      <c r="C837" s="558" t="s">
        <v>2349</v>
      </c>
      <c r="D837" s="558"/>
      <c r="E837" s="548" t="s">
        <v>1676</v>
      </c>
      <c r="F837" s="548" t="s">
        <v>1680</v>
      </c>
      <c r="G837" s="559" t="s">
        <v>1681</v>
      </c>
      <c r="H837" s="548" t="s">
        <v>1682</v>
      </c>
      <c r="I837" s="548" t="s">
        <v>4367</v>
      </c>
      <c r="J837" s="575" t="s">
        <v>1666</v>
      </c>
      <c r="K837" s="580">
        <v>49088</v>
      </c>
      <c r="L837" s="580">
        <v>53.388800000000003</v>
      </c>
      <c r="M837" s="552">
        <f t="shared" si="67"/>
        <v>919.44377847039073</v>
      </c>
      <c r="N837" s="526">
        <v>60</v>
      </c>
      <c r="O837" s="563">
        <f t="shared" si="63"/>
        <v>818.13333333333333</v>
      </c>
      <c r="P837" s="564">
        <f t="shared" ca="1" si="64"/>
        <v>65</v>
      </c>
      <c r="Q837" s="552">
        <f t="shared" ca="1" si="65"/>
        <v>-4090.6666666666642</v>
      </c>
      <c r="R837" s="563">
        <f t="shared" ca="1" si="66"/>
        <v>1</v>
      </c>
      <c r="S837" s="565" t="s">
        <v>1427</v>
      </c>
    </row>
    <row r="838" spans="1:19" ht="67.5" customHeight="1" x14ac:dyDescent="0.25">
      <c r="B838" s="363">
        <v>43983</v>
      </c>
      <c r="C838" s="558" t="s">
        <v>2349</v>
      </c>
      <c r="D838" s="558"/>
      <c r="E838" s="548" t="s">
        <v>1702</v>
      </c>
      <c r="F838" s="548" t="s">
        <v>1706</v>
      </c>
      <c r="G838" s="549" t="s">
        <v>4458</v>
      </c>
      <c r="H838" s="548" t="s">
        <v>1707</v>
      </c>
      <c r="I838" s="548" t="s">
        <v>4367</v>
      </c>
      <c r="J838" s="575" t="s">
        <v>1666</v>
      </c>
      <c r="K838" s="580">
        <v>9109.6</v>
      </c>
      <c r="L838" s="580">
        <v>57.126899999999999</v>
      </c>
      <c r="M838" s="552">
        <f t="shared" si="67"/>
        <v>159.46252991147779</v>
      </c>
      <c r="N838" s="526">
        <v>60</v>
      </c>
      <c r="O838" s="563">
        <f t="shared" si="63"/>
        <v>151.82666666666668</v>
      </c>
      <c r="P838" s="564">
        <f t="shared" ca="1" si="64"/>
        <v>62</v>
      </c>
      <c r="Q838" s="552">
        <f t="shared" ca="1" si="65"/>
        <v>-303.65333333333365</v>
      </c>
      <c r="R838" s="563">
        <f t="shared" ca="1" si="66"/>
        <v>1</v>
      </c>
      <c r="S838" s="565" t="s">
        <v>1705</v>
      </c>
    </row>
    <row r="839" spans="1:19" ht="72" customHeight="1" x14ac:dyDescent="0.25">
      <c r="B839" s="363">
        <v>43983</v>
      </c>
      <c r="C839" s="558" t="s">
        <v>2349</v>
      </c>
      <c r="D839" s="558"/>
      <c r="E839" s="548" t="s">
        <v>1702</v>
      </c>
      <c r="F839" s="548" t="s">
        <v>1703</v>
      </c>
      <c r="G839" s="549" t="s">
        <v>4457</v>
      </c>
      <c r="H839" s="548" t="s">
        <v>1704</v>
      </c>
      <c r="I839" s="548" t="s">
        <v>4367</v>
      </c>
      <c r="J839" s="575" t="s">
        <v>1666</v>
      </c>
      <c r="K839" s="580">
        <v>849.6</v>
      </c>
      <c r="L839" s="580">
        <v>57.126899999999999</v>
      </c>
      <c r="M839" s="552">
        <f t="shared" si="67"/>
        <v>14.872153048738861</v>
      </c>
      <c r="N839" s="526">
        <v>60</v>
      </c>
      <c r="O839" s="563">
        <f t="shared" si="63"/>
        <v>14.16</v>
      </c>
      <c r="P839" s="564">
        <f t="shared" ca="1" si="64"/>
        <v>62</v>
      </c>
      <c r="Q839" s="552">
        <f t="shared" ca="1" si="65"/>
        <v>-28.319999999999936</v>
      </c>
      <c r="R839" s="563">
        <f t="shared" ca="1" si="66"/>
        <v>1</v>
      </c>
      <c r="S839" s="565" t="s">
        <v>1705</v>
      </c>
    </row>
    <row r="840" spans="1:19" ht="47.1" customHeight="1" x14ac:dyDescent="0.25">
      <c r="B840" s="363">
        <v>44004</v>
      </c>
      <c r="C840" s="558" t="s">
        <v>2349</v>
      </c>
      <c r="D840" s="558"/>
      <c r="E840" s="548" t="s">
        <v>1708</v>
      </c>
      <c r="F840" s="548" t="s">
        <v>1714</v>
      </c>
      <c r="G840" s="549" t="s">
        <v>1715</v>
      </c>
      <c r="H840" s="548" t="s">
        <v>1716</v>
      </c>
      <c r="I840" s="548" t="s">
        <v>4367</v>
      </c>
      <c r="J840" s="575" t="s">
        <v>1666</v>
      </c>
      <c r="K840" s="580">
        <v>15717.6</v>
      </c>
      <c r="L840" s="580">
        <v>58.142499999999998</v>
      </c>
      <c r="M840" s="552">
        <f t="shared" si="67"/>
        <v>270.32893322440555</v>
      </c>
      <c r="N840" s="526">
        <v>60</v>
      </c>
      <c r="O840" s="563">
        <f t="shared" ref="O840:O903" si="68">IF(AND(K840&lt;&gt;0,N840&lt;&gt;0),K840/N840,0)</f>
        <v>261.95999999999998</v>
      </c>
      <c r="P840" s="564">
        <f t="shared" ref="P840:P903" ca="1" si="69">IF(B840&lt;&gt;0,(ROUND((NOW()-B840)/30,0)),0)</f>
        <v>61</v>
      </c>
      <c r="Q840" s="552">
        <f t="shared" ref="Q840:Q903" ca="1" si="70">IF(OR(K840=0,N840=0,P840=0),0,K840-(O840*P840))</f>
        <v>-261.95999999999913</v>
      </c>
      <c r="R840" s="563">
        <f t="shared" ref="R840:R903" ca="1" si="71">IF(Q840&lt;1,1,Q840)</f>
        <v>1</v>
      </c>
      <c r="S840" s="565" t="s">
        <v>1587</v>
      </c>
    </row>
    <row r="841" spans="1:19" ht="47.1" customHeight="1" x14ac:dyDescent="0.25">
      <c r="B841" s="363">
        <v>44004</v>
      </c>
      <c r="C841" s="558" t="s">
        <v>2349</v>
      </c>
      <c r="D841" s="558"/>
      <c r="E841" s="548" t="s">
        <v>1708</v>
      </c>
      <c r="F841" s="548" t="s">
        <v>1717</v>
      </c>
      <c r="G841" s="549" t="s">
        <v>1715</v>
      </c>
      <c r="H841" s="548" t="s">
        <v>1718</v>
      </c>
      <c r="I841" s="548" t="s">
        <v>4367</v>
      </c>
      <c r="J841" s="575" t="s">
        <v>1666</v>
      </c>
      <c r="K841" s="580">
        <v>15717.6</v>
      </c>
      <c r="L841" s="580">
        <v>58.142499999999998</v>
      </c>
      <c r="M841" s="552">
        <f t="shared" si="67"/>
        <v>270.32893322440555</v>
      </c>
      <c r="N841" s="526">
        <v>60</v>
      </c>
      <c r="O841" s="563">
        <f t="shared" si="68"/>
        <v>261.95999999999998</v>
      </c>
      <c r="P841" s="564">
        <f t="shared" ca="1" si="69"/>
        <v>61</v>
      </c>
      <c r="Q841" s="552">
        <f t="shared" ca="1" si="70"/>
        <v>-261.95999999999913</v>
      </c>
      <c r="R841" s="563">
        <f t="shared" ca="1" si="71"/>
        <v>1</v>
      </c>
      <c r="S841" s="565" t="s">
        <v>1587</v>
      </c>
    </row>
    <row r="842" spans="1:19" ht="47.1" customHeight="1" x14ac:dyDescent="0.25">
      <c r="B842" s="363">
        <v>44004</v>
      </c>
      <c r="C842" s="558" t="s">
        <v>2349</v>
      </c>
      <c r="D842" s="558"/>
      <c r="E842" s="548" t="s">
        <v>1708</v>
      </c>
      <c r="F842" s="548" t="s">
        <v>1709</v>
      </c>
      <c r="G842" s="549" t="s">
        <v>1710</v>
      </c>
      <c r="H842" s="548" t="s">
        <v>1711</v>
      </c>
      <c r="I842" s="548" t="s">
        <v>4367</v>
      </c>
      <c r="J842" s="575" t="s">
        <v>1666</v>
      </c>
      <c r="K842" s="580">
        <v>81862.5</v>
      </c>
      <c r="L842" s="580">
        <v>58.142499999999998</v>
      </c>
      <c r="M842" s="552">
        <f t="shared" si="67"/>
        <v>1407.9631938771124</v>
      </c>
      <c r="N842" s="526">
        <v>60</v>
      </c>
      <c r="O842" s="563">
        <f t="shared" si="68"/>
        <v>1364.375</v>
      </c>
      <c r="P842" s="564">
        <f t="shared" ca="1" si="69"/>
        <v>61</v>
      </c>
      <c r="Q842" s="552">
        <f t="shared" ca="1" si="70"/>
        <v>-1364.375</v>
      </c>
      <c r="R842" s="563">
        <f t="shared" ca="1" si="71"/>
        <v>1</v>
      </c>
      <c r="S842" s="565" t="s">
        <v>1587</v>
      </c>
    </row>
    <row r="843" spans="1:19" ht="47.1" customHeight="1" x14ac:dyDescent="0.25">
      <c r="B843" s="363">
        <v>44004</v>
      </c>
      <c r="C843" s="558" t="s">
        <v>2349</v>
      </c>
      <c r="D843" s="558"/>
      <c r="E843" s="548" t="s">
        <v>1708</v>
      </c>
      <c r="F843" s="548" t="s">
        <v>1712</v>
      </c>
      <c r="G843" s="549" t="s">
        <v>1710</v>
      </c>
      <c r="H843" s="548" t="s">
        <v>1713</v>
      </c>
      <c r="I843" s="548" t="s">
        <v>4367</v>
      </c>
      <c r="J843" s="575" t="s">
        <v>1666</v>
      </c>
      <c r="K843" s="580">
        <v>81862.5</v>
      </c>
      <c r="L843" s="580">
        <v>58.142499999999998</v>
      </c>
      <c r="M843" s="552">
        <f t="shared" si="67"/>
        <v>1407.9631938771124</v>
      </c>
      <c r="N843" s="526">
        <v>60</v>
      </c>
      <c r="O843" s="563">
        <f t="shared" si="68"/>
        <v>1364.375</v>
      </c>
      <c r="P843" s="564">
        <f t="shared" ca="1" si="69"/>
        <v>61</v>
      </c>
      <c r="Q843" s="552">
        <f t="shared" ca="1" si="70"/>
        <v>-1364.375</v>
      </c>
      <c r="R843" s="563">
        <f t="shared" ca="1" si="71"/>
        <v>1</v>
      </c>
      <c r="S843" s="565" t="s">
        <v>1587</v>
      </c>
    </row>
    <row r="844" spans="1:19" ht="47.1" customHeight="1" x14ac:dyDescent="0.25">
      <c r="A844" s="323"/>
      <c r="B844" s="363">
        <v>44511</v>
      </c>
      <c r="C844" s="558">
        <v>44532</v>
      </c>
      <c r="D844" s="558"/>
      <c r="E844" s="548" t="s">
        <v>1724</v>
      </c>
      <c r="F844" s="548" t="s">
        <v>1725</v>
      </c>
      <c r="G844" s="549" t="s">
        <v>1726</v>
      </c>
      <c r="H844" s="841" t="s">
        <v>1727</v>
      </c>
      <c r="I844" s="548" t="s">
        <v>4369</v>
      </c>
      <c r="J844" s="575" t="s">
        <v>4371</v>
      </c>
      <c r="K844" s="580">
        <v>3185549.6</v>
      </c>
      <c r="L844" s="580">
        <v>56.469700000000003</v>
      </c>
      <c r="M844" s="552">
        <f t="shared" si="67"/>
        <v>56411.661475091947</v>
      </c>
      <c r="N844" s="526">
        <v>60</v>
      </c>
      <c r="O844" s="563">
        <f t="shared" si="68"/>
        <v>53092.493333333332</v>
      </c>
      <c r="P844" s="564">
        <f t="shared" ca="1" si="69"/>
        <v>45</v>
      </c>
      <c r="Q844" s="552">
        <f t="shared" ca="1" si="70"/>
        <v>796387.40000000037</v>
      </c>
      <c r="R844" s="563">
        <f t="shared" ca="1" si="71"/>
        <v>796387.40000000037</v>
      </c>
      <c r="S844" s="565" t="s">
        <v>1723</v>
      </c>
    </row>
    <row r="845" spans="1:19" ht="65.25" customHeight="1" x14ac:dyDescent="0.25">
      <c r="B845" s="363">
        <v>44511</v>
      </c>
      <c r="C845" s="558">
        <v>44532</v>
      </c>
      <c r="D845" s="558"/>
      <c r="E845" s="548" t="s">
        <v>1719</v>
      </c>
      <c r="F845" s="548" t="s">
        <v>1720</v>
      </c>
      <c r="G845" s="549" t="s">
        <v>1721</v>
      </c>
      <c r="H845" s="841" t="s">
        <v>1722</v>
      </c>
      <c r="I845" s="548" t="s">
        <v>4368</v>
      </c>
      <c r="J845" s="575" t="s">
        <v>4370</v>
      </c>
      <c r="K845" s="580">
        <v>3185549.6</v>
      </c>
      <c r="L845" s="580">
        <v>56.469700000000003</v>
      </c>
      <c r="M845" s="552">
        <f t="shared" si="67"/>
        <v>56411.661475091947</v>
      </c>
      <c r="N845" s="526">
        <v>60</v>
      </c>
      <c r="O845" s="563">
        <f t="shared" si="68"/>
        <v>53092.493333333332</v>
      </c>
      <c r="P845" s="564">
        <f t="shared" ca="1" si="69"/>
        <v>45</v>
      </c>
      <c r="Q845" s="552">
        <f t="shared" ca="1" si="70"/>
        <v>796387.40000000037</v>
      </c>
      <c r="R845" s="563">
        <f t="shared" ca="1" si="71"/>
        <v>796387.40000000037</v>
      </c>
      <c r="S845" s="565" t="s">
        <v>1723</v>
      </c>
    </row>
    <row r="846" spans="1:19" ht="28.5" x14ac:dyDescent="0.25">
      <c r="A846" s="323"/>
      <c r="B846" s="861">
        <v>44622</v>
      </c>
      <c r="C846" s="583" t="s">
        <v>2349</v>
      </c>
      <c r="D846" s="583"/>
      <c r="E846" s="548" t="s">
        <v>5842</v>
      </c>
      <c r="F846" s="548" t="s">
        <v>1729</v>
      </c>
      <c r="G846" s="549" t="s">
        <v>1730</v>
      </c>
      <c r="H846" s="548" t="s">
        <v>1731</v>
      </c>
      <c r="I846" s="548" t="s">
        <v>1732</v>
      </c>
      <c r="J846" s="575" t="s">
        <v>19</v>
      </c>
      <c r="K846" s="580">
        <v>194995.01</v>
      </c>
      <c r="L846" s="580">
        <v>54.523000000000003</v>
      </c>
      <c r="M846" s="552">
        <f t="shared" ref="M846:M909" si="72">+K846/L846</f>
        <v>3576.3807934266274</v>
      </c>
      <c r="N846" s="526">
        <v>60</v>
      </c>
      <c r="O846" s="563">
        <f t="shared" si="68"/>
        <v>3249.9168333333337</v>
      </c>
      <c r="P846" s="564">
        <f t="shared" ca="1" si="69"/>
        <v>41</v>
      </c>
      <c r="Q846" s="552">
        <f t="shared" ca="1" si="70"/>
        <v>61748.419833333319</v>
      </c>
      <c r="R846" s="563">
        <f t="shared" ca="1" si="71"/>
        <v>61748.419833333319</v>
      </c>
      <c r="S846" s="565" t="s">
        <v>1103</v>
      </c>
    </row>
    <row r="847" spans="1:19" ht="65.099999999999994" customHeight="1" x14ac:dyDescent="0.25">
      <c r="B847" s="861">
        <v>44622</v>
      </c>
      <c r="C847" s="583" t="s">
        <v>2349</v>
      </c>
      <c r="D847" s="583"/>
      <c r="E847" s="548" t="s">
        <v>5842</v>
      </c>
      <c r="F847" s="548" t="s">
        <v>1733</v>
      </c>
      <c r="G847" s="549" t="s">
        <v>1730</v>
      </c>
      <c r="H847" s="548" t="s">
        <v>1734</v>
      </c>
      <c r="I847" s="548" t="s">
        <v>1735</v>
      </c>
      <c r="J847" s="575" t="s">
        <v>19</v>
      </c>
      <c r="K847" s="580">
        <v>194995.01</v>
      </c>
      <c r="L847" s="580">
        <v>54.523000000000003</v>
      </c>
      <c r="M847" s="552">
        <f t="shared" si="72"/>
        <v>3576.3807934266274</v>
      </c>
      <c r="N847" s="526">
        <v>60</v>
      </c>
      <c r="O847" s="563">
        <f t="shared" si="68"/>
        <v>3249.9168333333337</v>
      </c>
      <c r="P847" s="564">
        <f t="shared" ca="1" si="69"/>
        <v>41</v>
      </c>
      <c r="Q847" s="552">
        <f t="shared" ca="1" si="70"/>
        <v>61748.419833333319</v>
      </c>
      <c r="R847" s="563">
        <f t="shared" ca="1" si="71"/>
        <v>61748.419833333319</v>
      </c>
      <c r="S847" s="565" t="s">
        <v>1103</v>
      </c>
    </row>
    <row r="848" spans="1:19" ht="65.099999999999994" customHeight="1" x14ac:dyDescent="0.25">
      <c r="B848" s="861">
        <v>44622</v>
      </c>
      <c r="C848" s="583" t="s">
        <v>2349</v>
      </c>
      <c r="D848" s="583"/>
      <c r="E848" s="548" t="s">
        <v>5842</v>
      </c>
      <c r="F848" s="548" t="s">
        <v>1743</v>
      </c>
      <c r="G848" s="549" t="s">
        <v>1744</v>
      </c>
      <c r="H848" s="548" t="s">
        <v>1745</v>
      </c>
      <c r="I848" s="548" t="s">
        <v>1746</v>
      </c>
      <c r="J848" s="575" t="s">
        <v>19</v>
      </c>
      <c r="K848" s="580">
        <v>54474.99</v>
      </c>
      <c r="L848" s="580">
        <v>54.523000000000003</v>
      </c>
      <c r="M848" s="552">
        <f t="shared" si="72"/>
        <v>999.11945417530205</v>
      </c>
      <c r="N848" s="526">
        <v>60</v>
      </c>
      <c r="O848" s="563">
        <f t="shared" si="68"/>
        <v>907.91649999999993</v>
      </c>
      <c r="P848" s="564">
        <f t="shared" ca="1" si="69"/>
        <v>41</v>
      </c>
      <c r="Q848" s="552">
        <f t="shared" ca="1" si="70"/>
        <v>17250.413500000002</v>
      </c>
      <c r="R848" s="563">
        <f t="shared" ca="1" si="71"/>
        <v>17250.413500000002</v>
      </c>
      <c r="S848" s="565" t="s">
        <v>1103</v>
      </c>
    </row>
    <row r="849" spans="2:19" ht="65.099999999999994" customHeight="1" x14ac:dyDescent="0.25">
      <c r="B849" s="861">
        <v>44622</v>
      </c>
      <c r="C849" s="583" t="s">
        <v>2349</v>
      </c>
      <c r="D849" s="583"/>
      <c r="E849" s="548" t="s">
        <v>5842</v>
      </c>
      <c r="F849" s="548" t="s">
        <v>1747</v>
      </c>
      <c r="G849" s="549" t="s">
        <v>1744</v>
      </c>
      <c r="H849" s="548" t="s">
        <v>1748</v>
      </c>
      <c r="I849" s="548" t="s">
        <v>1749</v>
      </c>
      <c r="J849" s="575" t="s">
        <v>19</v>
      </c>
      <c r="K849" s="580">
        <v>54474.99</v>
      </c>
      <c r="L849" s="580">
        <v>54.523000000000003</v>
      </c>
      <c r="M849" s="552">
        <f t="shared" si="72"/>
        <v>999.11945417530205</v>
      </c>
      <c r="N849" s="526">
        <v>60</v>
      </c>
      <c r="O849" s="563">
        <f t="shared" si="68"/>
        <v>907.91649999999993</v>
      </c>
      <c r="P849" s="564">
        <f t="shared" ca="1" si="69"/>
        <v>41</v>
      </c>
      <c r="Q849" s="552">
        <f t="shared" ca="1" si="70"/>
        <v>17250.413500000002</v>
      </c>
      <c r="R849" s="563">
        <f t="shared" ca="1" si="71"/>
        <v>17250.413500000002</v>
      </c>
      <c r="S849" s="565" t="s">
        <v>1103</v>
      </c>
    </row>
    <row r="850" spans="2:19" ht="65.099999999999994" customHeight="1" x14ac:dyDescent="0.25">
      <c r="B850" s="861">
        <v>44622</v>
      </c>
      <c r="C850" s="583" t="s">
        <v>2349</v>
      </c>
      <c r="D850" s="583"/>
      <c r="E850" s="548" t="s">
        <v>5842</v>
      </c>
      <c r="F850" s="548" t="s">
        <v>1750</v>
      </c>
      <c r="G850" s="549" t="s">
        <v>1744</v>
      </c>
      <c r="H850" s="548" t="s">
        <v>1751</v>
      </c>
      <c r="I850" s="548" t="s">
        <v>1752</v>
      </c>
      <c r="J850" s="575" t="s">
        <v>19</v>
      </c>
      <c r="K850" s="580">
        <v>54474.99</v>
      </c>
      <c r="L850" s="580">
        <v>54.523000000000003</v>
      </c>
      <c r="M850" s="552">
        <f t="shared" si="72"/>
        <v>999.11945417530205</v>
      </c>
      <c r="N850" s="526">
        <v>60</v>
      </c>
      <c r="O850" s="563">
        <f t="shared" si="68"/>
        <v>907.91649999999993</v>
      </c>
      <c r="P850" s="564">
        <f t="shared" ca="1" si="69"/>
        <v>41</v>
      </c>
      <c r="Q850" s="552">
        <f t="shared" ca="1" si="70"/>
        <v>17250.413500000002</v>
      </c>
      <c r="R850" s="563">
        <f t="shared" ca="1" si="71"/>
        <v>17250.413500000002</v>
      </c>
      <c r="S850" s="565" t="s">
        <v>1103</v>
      </c>
    </row>
    <row r="851" spans="2:19" ht="65.099999999999994" customHeight="1" x14ac:dyDescent="0.25">
      <c r="B851" s="861">
        <v>44622</v>
      </c>
      <c r="C851" s="583" t="s">
        <v>2349</v>
      </c>
      <c r="D851" s="583"/>
      <c r="E851" s="548" t="s">
        <v>5842</v>
      </c>
      <c r="F851" s="548" t="s">
        <v>1753</v>
      </c>
      <c r="G851" s="549" t="s">
        <v>1744</v>
      </c>
      <c r="H851" s="548" t="s">
        <v>1754</v>
      </c>
      <c r="I851" s="548" t="s">
        <v>1755</v>
      </c>
      <c r="J851" s="575" t="s">
        <v>19</v>
      </c>
      <c r="K851" s="580">
        <v>54474.99</v>
      </c>
      <c r="L851" s="580">
        <v>54.523000000000003</v>
      </c>
      <c r="M851" s="552">
        <f t="shared" si="72"/>
        <v>999.11945417530205</v>
      </c>
      <c r="N851" s="526">
        <v>60</v>
      </c>
      <c r="O851" s="563">
        <f t="shared" si="68"/>
        <v>907.91649999999993</v>
      </c>
      <c r="P851" s="564">
        <f t="shared" ca="1" si="69"/>
        <v>41</v>
      </c>
      <c r="Q851" s="552">
        <f t="shared" ca="1" si="70"/>
        <v>17250.413500000002</v>
      </c>
      <c r="R851" s="563">
        <f t="shared" ca="1" si="71"/>
        <v>17250.413500000002</v>
      </c>
      <c r="S851" s="565" t="s">
        <v>1103</v>
      </c>
    </row>
    <row r="852" spans="2:19" ht="65.099999999999994" customHeight="1" x14ac:dyDescent="0.25">
      <c r="B852" s="861">
        <v>44622</v>
      </c>
      <c r="C852" s="583" t="s">
        <v>2349</v>
      </c>
      <c r="D852" s="583"/>
      <c r="E852" s="548" t="s">
        <v>5842</v>
      </c>
      <c r="F852" s="548" t="s">
        <v>1736</v>
      </c>
      <c r="G852" s="549" t="s">
        <v>1737</v>
      </c>
      <c r="H852" s="548" t="s">
        <v>1738</v>
      </c>
      <c r="I852" s="548" t="s">
        <v>1739</v>
      </c>
      <c r="J852" s="575" t="s">
        <v>19</v>
      </c>
      <c r="K852" s="580">
        <v>100840.01</v>
      </c>
      <c r="L852" s="580">
        <v>54.523000000000003</v>
      </c>
      <c r="M852" s="552">
        <f t="shared" si="72"/>
        <v>1849.4948920638994</v>
      </c>
      <c r="N852" s="526">
        <v>60</v>
      </c>
      <c r="O852" s="563">
        <f t="shared" si="68"/>
        <v>1680.6668333333332</v>
      </c>
      <c r="P852" s="564">
        <f t="shared" ca="1" si="69"/>
        <v>41</v>
      </c>
      <c r="Q852" s="552">
        <f t="shared" ca="1" si="70"/>
        <v>31932.669833333333</v>
      </c>
      <c r="R852" s="563">
        <f t="shared" ca="1" si="71"/>
        <v>31932.669833333333</v>
      </c>
      <c r="S852" s="565" t="s">
        <v>1103</v>
      </c>
    </row>
    <row r="853" spans="2:19" ht="65.099999999999994" customHeight="1" x14ac:dyDescent="0.25">
      <c r="B853" s="861">
        <v>44622</v>
      </c>
      <c r="C853" s="583" t="s">
        <v>2349</v>
      </c>
      <c r="D853" s="583"/>
      <c r="E853" s="548" t="s">
        <v>5842</v>
      </c>
      <c r="F853" s="548" t="s">
        <v>1740</v>
      </c>
      <c r="G853" s="549" t="s">
        <v>1737</v>
      </c>
      <c r="H853" s="548" t="s">
        <v>1741</v>
      </c>
      <c r="I853" s="548" t="s">
        <v>1742</v>
      </c>
      <c r="J853" s="575" t="s">
        <v>19</v>
      </c>
      <c r="K853" s="580">
        <v>100840.01</v>
      </c>
      <c r="L853" s="580">
        <v>54.523000000000003</v>
      </c>
      <c r="M853" s="552">
        <f t="shared" si="72"/>
        <v>1849.4948920638994</v>
      </c>
      <c r="N853" s="526">
        <v>60</v>
      </c>
      <c r="O853" s="563">
        <f t="shared" si="68"/>
        <v>1680.6668333333332</v>
      </c>
      <c r="P853" s="564">
        <f t="shared" ca="1" si="69"/>
        <v>41</v>
      </c>
      <c r="Q853" s="552">
        <f t="shared" ca="1" si="70"/>
        <v>31932.669833333333</v>
      </c>
      <c r="R853" s="563">
        <f t="shared" ca="1" si="71"/>
        <v>31932.669833333333</v>
      </c>
      <c r="S853" s="565" t="s">
        <v>1103</v>
      </c>
    </row>
    <row r="854" spans="2:19" s="323" customFormat="1" ht="37.5" customHeight="1" x14ac:dyDescent="0.25">
      <c r="B854" s="861">
        <v>44631</v>
      </c>
      <c r="C854" s="583" t="s">
        <v>2349</v>
      </c>
      <c r="D854" s="583"/>
      <c r="E854" s="548" t="s">
        <v>5842</v>
      </c>
      <c r="F854" s="548" t="s">
        <v>1756</v>
      </c>
      <c r="G854" s="549" t="s">
        <v>1757</v>
      </c>
      <c r="H854" s="548" t="s">
        <v>1758</v>
      </c>
      <c r="I854" s="548" t="s">
        <v>1759</v>
      </c>
      <c r="J854" s="575" t="s">
        <v>19</v>
      </c>
      <c r="K854" s="580">
        <v>179520.99</v>
      </c>
      <c r="L854" s="580">
        <v>54.523000000000003</v>
      </c>
      <c r="M854" s="552">
        <f t="shared" si="72"/>
        <v>3292.5735927957007</v>
      </c>
      <c r="N854" s="526">
        <v>60</v>
      </c>
      <c r="O854" s="563">
        <f t="shared" si="68"/>
        <v>2992.0164999999997</v>
      </c>
      <c r="P854" s="564">
        <f t="shared" ca="1" si="69"/>
        <v>41</v>
      </c>
      <c r="Q854" s="552">
        <f t="shared" ca="1" si="70"/>
        <v>56848.313500000004</v>
      </c>
      <c r="R854" s="563">
        <f t="shared" ca="1" si="71"/>
        <v>56848.313500000004</v>
      </c>
      <c r="S854" s="565" t="s">
        <v>1103</v>
      </c>
    </row>
    <row r="855" spans="2:19" s="323" customFormat="1" ht="35.1" customHeight="1" x14ac:dyDescent="0.25">
      <c r="B855" s="861">
        <v>44631</v>
      </c>
      <c r="C855" s="583" t="s">
        <v>2349</v>
      </c>
      <c r="D855" s="583"/>
      <c r="E855" s="548" t="s">
        <v>5842</v>
      </c>
      <c r="F855" s="548" t="s">
        <v>1760</v>
      </c>
      <c r="G855" s="549" t="s">
        <v>1757</v>
      </c>
      <c r="H855" s="548" t="s">
        <v>1761</v>
      </c>
      <c r="I855" s="548" t="s">
        <v>1762</v>
      </c>
      <c r="J855" s="575" t="s">
        <v>19</v>
      </c>
      <c r="K855" s="580">
        <v>179520.99</v>
      </c>
      <c r="L855" s="580">
        <v>54.523000000000003</v>
      </c>
      <c r="M855" s="552">
        <f t="shared" si="72"/>
        <v>3292.5735927957007</v>
      </c>
      <c r="N855" s="526">
        <v>60</v>
      </c>
      <c r="O855" s="563">
        <f t="shared" si="68"/>
        <v>2992.0164999999997</v>
      </c>
      <c r="P855" s="564">
        <f t="shared" ca="1" si="69"/>
        <v>41</v>
      </c>
      <c r="Q855" s="552">
        <f t="shared" ca="1" si="70"/>
        <v>56848.313500000004</v>
      </c>
      <c r="R855" s="563">
        <f t="shared" ca="1" si="71"/>
        <v>56848.313500000004</v>
      </c>
      <c r="S855" s="565" t="s">
        <v>1103</v>
      </c>
    </row>
    <row r="856" spans="2:19" ht="35.1" customHeight="1" x14ac:dyDescent="0.25">
      <c r="B856" s="861">
        <v>44631</v>
      </c>
      <c r="C856" s="583" t="s">
        <v>2349</v>
      </c>
      <c r="D856" s="583"/>
      <c r="E856" s="548" t="s">
        <v>5843</v>
      </c>
      <c r="F856" s="548" t="s">
        <v>1764</v>
      </c>
      <c r="G856" s="549" t="s">
        <v>1757</v>
      </c>
      <c r="H856" s="548" t="s">
        <v>1765</v>
      </c>
      <c r="I856" s="548" t="s">
        <v>1766</v>
      </c>
      <c r="J856" s="575" t="s">
        <v>19</v>
      </c>
      <c r="K856" s="580">
        <v>179520.99</v>
      </c>
      <c r="L856" s="580">
        <v>54.770299999999999</v>
      </c>
      <c r="M856" s="552">
        <f t="shared" si="72"/>
        <v>3277.7068958906561</v>
      </c>
      <c r="N856" s="526">
        <v>60</v>
      </c>
      <c r="O856" s="563">
        <f t="shared" si="68"/>
        <v>2992.0164999999997</v>
      </c>
      <c r="P856" s="564">
        <f t="shared" ca="1" si="69"/>
        <v>41</v>
      </c>
      <c r="Q856" s="552">
        <f t="shared" ca="1" si="70"/>
        <v>56848.313500000004</v>
      </c>
      <c r="R856" s="563">
        <f t="shared" ca="1" si="71"/>
        <v>56848.313500000004</v>
      </c>
      <c r="S856" s="565" t="s">
        <v>1767</v>
      </c>
    </row>
    <row r="857" spans="2:19" ht="35.1" customHeight="1" x14ac:dyDescent="0.25">
      <c r="B857" s="861">
        <v>44631</v>
      </c>
      <c r="C857" s="583" t="s">
        <v>2349</v>
      </c>
      <c r="D857" s="583"/>
      <c r="E857" s="548" t="s">
        <v>5843</v>
      </c>
      <c r="F857" s="548" t="s">
        <v>1768</v>
      </c>
      <c r="G857" s="549" t="s">
        <v>1757</v>
      </c>
      <c r="H857" s="548" t="s">
        <v>1769</v>
      </c>
      <c r="I857" s="548" t="s">
        <v>1770</v>
      </c>
      <c r="J857" s="575" t="s">
        <v>19</v>
      </c>
      <c r="K857" s="580">
        <v>179520.99</v>
      </c>
      <c r="L857" s="580">
        <v>54.770299999999999</v>
      </c>
      <c r="M857" s="552">
        <f t="shared" si="72"/>
        <v>3277.7068958906561</v>
      </c>
      <c r="N857" s="526">
        <v>60</v>
      </c>
      <c r="O857" s="563">
        <f t="shared" si="68"/>
        <v>2992.0164999999997</v>
      </c>
      <c r="P857" s="564">
        <f t="shared" ca="1" si="69"/>
        <v>41</v>
      </c>
      <c r="Q857" s="552">
        <f t="shared" ca="1" si="70"/>
        <v>56848.313500000004</v>
      </c>
      <c r="R857" s="563">
        <f t="shared" ca="1" si="71"/>
        <v>56848.313500000004</v>
      </c>
      <c r="S857" s="565" t="s">
        <v>1767</v>
      </c>
    </row>
    <row r="858" spans="2:19" ht="35.1" customHeight="1" x14ac:dyDescent="0.25">
      <c r="B858" s="861">
        <v>44631</v>
      </c>
      <c r="C858" s="583" t="s">
        <v>2349</v>
      </c>
      <c r="D858" s="583"/>
      <c r="E858" s="548" t="s">
        <v>5843</v>
      </c>
      <c r="F858" s="548" t="s">
        <v>1771</v>
      </c>
      <c r="G858" s="549" t="s">
        <v>1757</v>
      </c>
      <c r="H858" s="548" t="s">
        <v>1772</v>
      </c>
      <c r="I858" s="548" t="s">
        <v>1773</v>
      </c>
      <c r="J858" s="575" t="s">
        <v>19</v>
      </c>
      <c r="K858" s="580">
        <v>179520.99</v>
      </c>
      <c r="L858" s="580">
        <v>54.770299999999999</v>
      </c>
      <c r="M858" s="552">
        <f t="shared" si="72"/>
        <v>3277.7068958906561</v>
      </c>
      <c r="N858" s="526">
        <v>60</v>
      </c>
      <c r="O858" s="563">
        <f t="shared" si="68"/>
        <v>2992.0164999999997</v>
      </c>
      <c r="P858" s="564">
        <f t="shared" ca="1" si="69"/>
        <v>41</v>
      </c>
      <c r="Q858" s="552">
        <f t="shared" ca="1" si="70"/>
        <v>56848.313500000004</v>
      </c>
      <c r="R858" s="563">
        <f t="shared" ca="1" si="71"/>
        <v>56848.313500000004</v>
      </c>
      <c r="S858" s="565" t="s">
        <v>1767</v>
      </c>
    </row>
    <row r="859" spans="2:19" s="323" customFormat="1" ht="35.1" customHeight="1" x14ac:dyDescent="0.25">
      <c r="B859" s="861">
        <v>44631</v>
      </c>
      <c r="C859" s="583" t="s">
        <v>2349</v>
      </c>
      <c r="D859" s="583"/>
      <c r="E859" s="548" t="s">
        <v>5843</v>
      </c>
      <c r="F859" s="548" t="s">
        <v>1774</v>
      </c>
      <c r="G859" s="549" t="s">
        <v>1757</v>
      </c>
      <c r="H859" s="548" t="s">
        <v>1775</v>
      </c>
      <c r="I859" s="548" t="s">
        <v>1776</v>
      </c>
      <c r="J859" s="575" t="s">
        <v>19</v>
      </c>
      <c r="K859" s="580">
        <v>179520.99</v>
      </c>
      <c r="L859" s="580">
        <v>54.770299999999999</v>
      </c>
      <c r="M859" s="552">
        <f t="shared" si="72"/>
        <v>3277.7068958906561</v>
      </c>
      <c r="N859" s="526">
        <v>60</v>
      </c>
      <c r="O859" s="563">
        <f t="shared" si="68"/>
        <v>2992.0164999999997</v>
      </c>
      <c r="P859" s="564">
        <f t="shared" ca="1" si="69"/>
        <v>41</v>
      </c>
      <c r="Q859" s="552">
        <f t="shared" ca="1" si="70"/>
        <v>56848.313500000004</v>
      </c>
      <c r="R859" s="563">
        <f t="shared" ca="1" si="71"/>
        <v>56848.313500000004</v>
      </c>
      <c r="S859" s="565" t="s">
        <v>1767</v>
      </c>
    </row>
    <row r="860" spans="2:19" ht="35.1" customHeight="1" x14ac:dyDescent="0.25">
      <c r="B860" s="861">
        <v>44631</v>
      </c>
      <c r="C860" s="583" t="s">
        <v>2349</v>
      </c>
      <c r="D860" s="583"/>
      <c r="E860" s="548" t="s">
        <v>5843</v>
      </c>
      <c r="F860" s="548" t="s">
        <v>1777</v>
      </c>
      <c r="G860" s="549" t="s">
        <v>1757</v>
      </c>
      <c r="H860" s="548" t="s">
        <v>1778</v>
      </c>
      <c r="I860" s="548" t="s">
        <v>1779</v>
      </c>
      <c r="J860" s="575" t="s">
        <v>19</v>
      </c>
      <c r="K860" s="580">
        <v>179520.99</v>
      </c>
      <c r="L860" s="580">
        <v>54.770299999999999</v>
      </c>
      <c r="M860" s="552">
        <f t="shared" si="72"/>
        <v>3277.7068958906561</v>
      </c>
      <c r="N860" s="526">
        <v>60</v>
      </c>
      <c r="O860" s="563">
        <f t="shared" si="68"/>
        <v>2992.0164999999997</v>
      </c>
      <c r="P860" s="564">
        <f t="shared" ca="1" si="69"/>
        <v>41</v>
      </c>
      <c r="Q860" s="552">
        <f t="shared" ca="1" si="70"/>
        <v>56848.313500000004</v>
      </c>
      <c r="R860" s="563">
        <f t="shared" ca="1" si="71"/>
        <v>56848.313500000004</v>
      </c>
      <c r="S860" s="565" t="s">
        <v>1767</v>
      </c>
    </row>
    <row r="861" spans="2:19" ht="38.25" customHeight="1" x14ac:dyDescent="0.25">
      <c r="B861" s="861">
        <v>44631</v>
      </c>
      <c r="C861" s="583" t="s">
        <v>2349</v>
      </c>
      <c r="D861" s="583"/>
      <c r="E861" s="548" t="s">
        <v>5843</v>
      </c>
      <c r="F861" s="548" t="s">
        <v>1780</v>
      </c>
      <c r="G861" s="549" t="s">
        <v>1757</v>
      </c>
      <c r="H861" s="548" t="s">
        <v>1781</v>
      </c>
      <c r="I861" s="548" t="s">
        <v>1782</v>
      </c>
      <c r="J861" s="575" t="s">
        <v>19</v>
      </c>
      <c r="K861" s="580">
        <v>179520.99</v>
      </c>
      <c r="L861" s="580">
        <v>54.770299999999999</v>
      </c>
      <c r="M861" s="552">
        <f t="shared" si="72"/>
        <v>3277.7068958906561</v>
      </c>
      <c r="N861" s="526">
        <v>60</v>
      </c>
      <c r="O861" s="563">
        <f t="shared" si="68"/>
        <v>2992.0164999999997</v>
      </c>
      <c r="P861" s="564">
        <f t="shared" ca="1" si="69"/>
        <v>41</v>
      </c>
      <c r="Q861" s="552">
        <f t="shared" ca="1" si="70"/>
        <v>56848.313500000004</v>
      </c>
      <c r="R861" s="563">
        <f t="shared" ca="1" si="71"/>
        <v>56848.313500000004</v>
      </c>
      <c r="S861" s="565" t="s">
        <v>1767</v>
      </c>
    </row>
    <row r="862" spans="2:19" ht="35.1" customHeight="1" x14ac:dyDescent="0.25">
      <c r="B862" s="861">
        <v>44631</v>
      </c>
      <c r="C862" s="583" t="s">
        <v>2349</v>
      </c>
      <c r="D862" s="583"/>
      <c r="E862" s="548" t="s">
        <v>5843</v>
      </c>
      <c r="F862" s="548" t="s">
        <v>1783</v>
      </c>
      <c r="G862" s="549" t="s">
        <v>1757</v>
      </c>
      <c r="H862" s="548" t="s">
        <v>1784</v>
      </c>
      <c r="I862" s="548" t="s">
        <v>1785</v>
      </c>
      <c r="J862" s="575" t="s">
        <v>19</v>
      </c>
      <c r="K862" s="580">
        <v>179520.99</v>
      </c>
      <c r="L862" s="580">
        <v>54.770299999999999</v>
      </c>
      <c r="M862" s="552">
        <f t="shared" si="72"/>
        <v>3277.7068958906561</v>
      </c>
      <c r="N862" s="526">
        <v>60</v>
      </c>
      <c r="O862" s="563">
        <f t="shared" si="68"/>
        <v>2992.0164999999997</v>
      </c>
      <c r="P862" s="564">
        <f t="shared" ca="1" si="69"/>
        <v>41</v>
      </c>
      <c r="Q862" s="552">
        <f t="shared" ca="1" si="70"/>
        <v>56848.313500000004</v>
      </c>
      <c r="R862" s="563">
        <f t="shared" ca="1" si="71"/>
        <v>56848.313500000004</v>
      </c>
      <c r="S862" s="565" t="s">
        <v>1767</v>
      </c>
    </row>
    <row r="863" spans="2:19" ht="35.1" customHeight="1" x14ac:dyDescent="0.25">
      <c r="B863" s="861">
        <v>44631</v>
      </c>
      <c r="C863" s="583" t="s">
        <v>2349</v>
      </c>
      <c r="D863" s="583"/>
      <c r="E863" s="548" t="s">
        <v>5843</v>
      </c>
      <c r="F863" s="548" t="s">
        <v>1786</v>
      </c>
      <c r="G863" s="549" t="s">
        <v>1757</v>
      </c>
      <c r="H863" s="548" t="s">
        <v>1787</v>
      </c>
      <c r="I863" s="548" t="s">
        <v>1788</v>
      </c>
      <c r="J863" s="575" t="s">
        <v>19</v>
      </c>
      <c r="K863" s="580">
        <v>179520.99</v>
      </c>
      <c r="L863" s="580">
        <v>54.770299999999999</v>
      </c>
      <c r="M863" s="552">
        <f t="shared" si="72"/>
        <v>3277.7068958906561</v>
      </c>
      <c r="N863" s="526">
        <v>60</v>
      </c>
      <c r="O863" s="563">
        <f t="shared" si="68"/>
        <v>2992.0164999999997</v>
      </c>
      <c r="P863" s="564">
        <f t="shared" ca="1" si="69"/>
        <v>41</v>
      </c>
      <c r="Q863" s="552">
        <f t="shared" ca="1" si="70"/>
        <v>56848.313500000004</v>
      </c>
      <c r="R863" s="563">
        <f t="shared" ca="1" si="71"/>
        <v>56848.313500000004</v>
      </c>
      <c r="S863" s="565" t="s">
        <v>1767</v>
      </c>
    </row>
    <row r="864" spans="2:19" ht="48.75" customHeight="1" x14ac:dyDescent="0.25">
      <c r="B864" s="861">
        <v>44631</v>
      </c>
      <c r="C864" s="583" t="s">
        <v>2349</v>
      </c>
      <c r="D864" s="583"/>
      <c r="E864" s="548" t="s">
        <v>5843</v>
      </c>
      <c r="F864" s="548" t="s">
        <v>1789</v>
      </c>
      <c r="G864" s="549" t="s">
        <v>1757</v>
      </c>
      <c r="H864" s="548" t="s">
        <v>1790</v>
      </c>
      <c r="I864" s="548" t="s">
        <v>1791</v>
      </c>
      <c r="J864" s="575" t="s">
        <v>19</v>
      </c>
      <c r="K864" s="580">
        <v>179520.99</v>
      </c>
      <c r="L864" s="580">
        <v>54.770299999999999</v>
      </c>
      <c r="M864" s="552">
        <f t="shared" si="72"/>
        <v>3277.7068958906561</v>
      </c>
      <c r="N864" s="526">
        <v>60</v>
      </c>
      <c r="O864" s="563">
        <f t="shared" si="68"/>
        <v>2992.0164999999997</v>
      </c>
      <c r="P864" s="564">
        <f t="shared" ca="1" si="69"/>
        <v>41</v>
      </c>
      <c r="Q864" s="552">
        <f t="shared" ca="1" si="70"/>
        <v>56848.313500000004</v>
      </c>
      <c r="R864" s="563">
        <f t="shared" ca="1" si="71"/>
        <v>56848.313500000004</v>
      </c>
      <c r="S864" s="565" t="s">
        <v>1767</v>
      </c>
    </row>
    <row r="865" spans="2:19" s="323" customFormat="1" ht="60" customHeight="1" x14ac:dyDescent="0.25">
      <c r="B865" s="861">
        <v>44812</v>
      </c>
      <c r="C865" s="583" t="s">
        <v>2349</v>
      </c>
      <c r="D865" s="583"/>
      <c r="E865" s="548" t="s">
        <v>1792</v>
      </c>
      <c r="F865" s="548" t="s">
        <v>1834</v>
      </c>
      <c r="G865" s="549" t="s">
        <v>1835</v>
      </c>
      <c r="H865" s="548" t="s">
        <v>1836</v>
      </c>
      <c r="I865" s="514" t="s">
        <v>4400</v>
      </c>
      <c r="J865" s="513" t="s">
        <v>4462</v>
      </c>
      <c r="K865" s="580">
        <v>4498.16</v>
      </c>
      <c r="L865" s="580">
        <v>53.015799999999999</v>
      </c>
      <c r="M865" s="552">
        <f t="shared" si="72"/>
        <v>84.845649787421863</v>
      </c>
      <c r="N865" s="526">
        <v>60</v>
      </c>
      <c r="O865" s="563">
        <f t="shared" si="68"/>
        <v>74.969333333333324</v>
      </c>
      <c r="P865" s="564">
        <f t="shared" ca="1" si="69"/>
        <v>35</v>
      </c>
      <c r="Q865" s="552">
        <f t="shared" ca="1" si="70"/>
        <v>1874.2333333333336</v>
      </c>
      <c r="R865" s="563">
        <f t="shared" ca="1" si="71"/>
        <v>1874.2333333333336</v>
      </c>
      <c r="S865" s="565" t="s">
        <v>1767</v>
      </c>
    </row>
    <row r="866" spans="2:19" s="323" customFormat="1" ht="60" customHeight="1" x14ac:dyDescent="0.25">
      <c r="B866" s="861">
        <v>44812</v>
      </c>
      <c r="C866" s="583" t="s">
        <v>2349</v>
      </c>
      <c r="D866" s="583"/>
      <c r="E866" s="548" t="s">
        <v>1792</v>
      </c>
      <c r="F866" s="548" t="s">
        <v>1837</v>
      </c>
      <c r="G866" s="549" t="s">
        <v>1835</v>
      </c>
      <c r="H866" s="548" t="s">
        <v>1838</v>
      </c>
      <c r="I866" s="514" t="s">
        <v>4401</v>
      </c>
      <c r="J866" s="513" t="s">
        <v>4464</v>
      </c>
      <c r="K866" s="580">
        <v>4498.16</v>
      </c>
      <c r="L866" s="580">
        <v>53.015799999999999</v>
      </c>
      <c r="M866" s="552">
        <f t="shared" si="72"/>
        <v>84.845649787421863</v>
      </c>
      <c r="N866" s="526">
        <v>60</v>
      </c>
      <c r="O866" s="563">
        <f t="shared" si="68"/>
        <v>74.969333333333324</v>
      </c>
      <c r="P866" s="564">
        <f t="shared" ca="1" si="69"/>
        <v>35</v>
      </c>
      <c r="Q866" s="552">
        <f t="shared" ca="1" si="70"/>
        <v>1874.2333333333336</v>
      </c>
      <c r="R866" s="563">
        <f t="shared" ca="1" si="71"/>
        <v>1874.2333333333336</v>
      </c>
      <c r="S866" s="565" t="s">
        <v>1767</v>
      </c>
    </row>
    <row r="867" spans="2:19" s="323" customFormat="1" ht="69" customHeight="1" x14ac:dyDescent="0.25">
      <c r="B867" s="861">
        <v>44812</v>
      </c>
      <c r="C867" s="583" t="s">
        <v>2349</v>
      </c>
      <c r="D867" s="583"/>
      <c r="E867" s="548" t="s">
        <v>1792</v>
      </c>
      <c r="F867" s="548" t="s">
        <v>1839</v>
      </c>
      <c r="G867" s="549" t="s">
        <v>1835</v>
      </c>
      <c r="H867" s="548" t="s">
        <v>1840</v>
      </c>
      <c r="I867" s="514" t="s">
        <v>4400</v>
      </c>
      <c r="J867" s="513" t="s">
        <v>4462</v>
      </c>
      <c r="K867" s="580">
        <v>4498.16</v>
      </c>
      <c r="L867" s="580">
        <v>53.015799999999999</v>
      </c>
      <c r="M867" s="552">
        <f t="shared" si="72"/>
        <v>84.845649787421863</v>
      </c>
      <c r="N867" s="526">
        <v>60</v>
      </c>
      <c r="O867" s="563">
        <f t="shared" si="68"/>
        <v>74.969333333333324</v>
      </c>
      <c r="P867" s="564">
        <f t="shared" ca="1" si="69"/>
        <v>35</v>
      </c>
      <c r="Q867" s="552">
        <f t="shared" ca="1" si="70"/>
        <v>1874.2333333333336</v>
      </c>
      <c r="R867" s="563">
        <f t="shared" ca="1" si="71"/>
        <v>1874.2333333333336</v>
      </c>
      <c r="S867" s="565" t="s">
        <v>1767</v>
      </c>
    </row>
    <row r="868" spans="2:19" s="323" customFormat="1" ht="60" customHeight="1" x14ac:dyDescent="0.25">
      <c r="B868" s="861">
        <v>44812</v>
      </c>
      <c r="C868" s="583" t="s">
        <v>2349</v>
      </c>
      <c r="D868" s="583"/>
      <c r="E868" s="548" t="s">
        <v>1792</v>
      </c>
      <c r="F868" s="548" t="s">
        <v>1841</v>
      </c>
      <c r="G868" s="549" t="s">
        <v>1835</v>
      </c>
      <c r="H868" s="548" t="s">
        <v>1842</v>
      </c>
      <c r="I868" s="514" t="s">
        <v>45</v>
      </c>
      <c r="J868" s="513" t="s">
        <v>4463</v>
      </c>
      <c r="K868" s="580">
        <v>4498.16</v>
      </c>
      <c r="L868" s="580">
        <v>53.015799999999999</v>
      </c>
      <c r="M868" s="552">
        <f t="shared" si="72"/>
        <v>84.845649787421863</v>
      </c>
      <c r="N868" s="526">
        <v>60</v>
      </c>
      <c r="O868" s="563">
        <f t="shared" si="68"/>
        <v>74.969333333333324</v>
      </c>
      <c r="P868" s="564">
        <f t="shared" ca="1" si="69"/>
        <v>35</v>
      </c>
      <c r="Q868" s="552">
        <f t="shared" ca="1" si="70"/>
        <v>1874.2333333333336</v>
      </c>
      <c r="R868" s="563">
        <f t="shared" ca="1" si="71"/>
        <v>1874.2333333333336</v>
      </c>
      <c r="S868" s="565" t="s">
        <v>1767</v>
      </c>
    </row>
    <row r="869" spans="2:19" s="323" customFormat="1" ht="60" customHeight="1" x14ac:dyDescent="0.25">
      <c r="B869" s="861">
        <v>44812</v>
      </c>
      <c r="C869" s="583" t="s">
        <v>2349</v>
      </c>
      <c r="D869" s="583"/>
      <c r="E869" s="548" t="s">
        <v>1792</v>
      </c>
      <c r="F869" s="548" t="s">
        <v>1843</v>
      </c>
      <c r="G869" s="549" t="s">
        <v>1835</v>
      </c>
      <c r="H869" s="513" t="s">
        <v>4228</v>
      </c>
      <c r="I869" s="514" t="s">
        <v>1379</v>
      </c>
      <c r="J869" s="513" t="s">
        <v>4465</v>
      </c>
      <c r="K869" s="580">
        <v>4498.16</v>
      </c>
      <c r="L869" s="580">
        <v>53.015799999999999</v>
      </c>
      <c r="M869" s="552">
        <f t="shared" si="72"/>
        <v>84.845649787421863</v>
      </c>
      <c r="N869" s="526">
        <v>60</v>
      </c>
      <c r="O869" s="563">
        <f t="shared" si="68"/>
        <v>74.969333333333324</v>
      </c>
      <c r="P869" s="564">
        <f t="shared" ca="1" si="69"/>
        <v>35</v>
      </c>
      <c r="Q869" s="552">
        <f t="shared" ca="1" si="70"/>
        <v>1874.2333333333336</v>
      </c>
      <c r="R869" s="563">
        <f t="shared" ca="1" si="71"/>
        <v>1874.2333333333336</v>
      </c>
      <c r="S869" s="565" t="s">
        <v>1767</v>
      </c>
    </row>
    <row r="870" spans="2:19" s="323" customFormat="1" ht="60" customHeight="1" x14ac:dyDescent="0.25">
      <c r="B870" s="861">
        <v>44812</v>
      </c>
      <c r="C870" s="583" t="s">
        <v>2349</v>
      </c>
      <c r="D870" s="583"/>
      <c r="E870" s="548" t="s">
        <v>1792</v>
      </c>
      <c r="F870" s="548" t="s">
        <v>1845</v>
      </c>
      <c r="G870" s="549" t="s">
        <v>1835</v>
      </c>
      <c r="H870" s="513" t="s">
        <v>1846</v>
      </c>
      <c r="I870" s="514" t="s">
        <v>1344</v>
      </c>
      <c r="J870" s="513" t="s">
        <v>4460</v>
      </c>
      <c r="K870" s="580">
        <v>4498.16</v>
      </c>
      <c r="L870" s="580">
        <v>53.015799999999999</v>
      </c>
      <c r="M870" s="552">
        <f t="shared" si="72"/>
        <v>84.845649787421863</v>
      </c>
      <c r="N870" s="526">
        <v>60</v>
      </c>
      <c r="O870" s="563">
        <f t="shared" si="68"/>
        <v>74.969333333333324</v>
      </c>
      <c r="P870" s="564">
        <f t="shared" ca="1" si="69"/>
        <v>35</v>
      </c>
      <c r="Q870" s="552">
        <f t="shared" ca="1" si="70"/>
        <v>1874.2333333333336</v>
      </c>
      <c r="R870" s="563">
        <f t="shared" ca="1" si="71"/>
        <v>1874.2333333333336</v>
      </c>
      <c r="S870" s="565" t="s">
        <v>1767</v>
      </c>
    </row>
    <row r="871" spans="2:19" s="323" customFormat="1" ht="60" customHeight="1" x14ac:dyDescent="0.25">
      <c r="B871" s="861">
        <v>44812</v>
      </c>
      <c r="C871" s="583" t="s">
        <v>2349</v>
      </c>
      <c r="D871" s="583"/>
      <c r="E871" s="548" t="s">
        <v>1792</v>
      </c>
      <c r="F871" s="548" t="s">
        <v>1847</v>
      </c>
      <c r="G871" s="549" t="s">
        <v>1835</v>
      </c>
      <c r="H871" s="548" t="s">
        <v>1848</v>
      </c>
      <c r="I871" s="514" t="s">
        <v>45</v>
      </c>
      <c r="J871" s="513" t="s">
        <v>4463</v>
      </c>
      <c r="K871" s="580">
        <v>4498.16</v>
      </c>
      <c r="L871" s="580">
        <v>53.015799999999999</v>
      </c>
      <c r="M871" s="552">
        <f t="shared" si="72"/>
        <v>84.845649787421863</v>
      </c>
      <c r="N871" s="526">
        <v>60</v>
      </c>
      <c r="O871" s="563">
        <f t="shared" si="68"/>
        <v>74.969333333333324</v>
      </c>
      <c r="P871" s="564">
        <f t="shared" ca="1" si="69"/>
        <v>35</v>
      </c>
      <c r="Q871" s="552">
        <f t="shared" ca="1" si="70"/>
        <v>1874.2333333333336</v>
      </c>
      <c r="R871" s="563">
        <f t="shared" ca="1" si="71"/>
        <v>1874.2333333333336</v>
      </c>
      <c r="S871" s="565" t="s">
        <v>1767</v>
      </c>
    </row>
    <row r="872" spans="2:19" s="323" customFormat="1" ht="60" customHeight="1" x14ac:dyDescent="0.25">
      <c r="B872" s="861">
        <v>44812</v>
      </c>
      <c r="C872" s="583" t="s">
        <v>2349</v>
      </c>
      <c r="D872" s="583"/>
      <c r="E872" s="548" t="s">
        <v>1792</v>
      </c>
      <c r="F872" s="548" t="s">
        <v>1849</v>
      </c>
      <c r="G872" s="549" t="s">
        <v>1835</v>
      </c>
      <c r="H872" s="548" t="s">
        <v>1850</v>
      </c>
      <c r="I872" s="514" t="s">
        <v>1379</v>
      </c>
      <c r="J872" s="513" t="s">
        <v>4465</v>
      </c>
      <c r="K872" s="580">
        <v>4498.16</v>
      </c>
      <c r="L872" s="580">
        <v>53.015799999999999</v>
      </c>
      <c r="M872" s="552">
        <f t="shared" si="72"/>
        <v>84.845649787421863</v>
      </c>
      <c r="N872" s="526">
        <v>60</v>
      </c>
      <c r="O872" s="563">
        <f t="shared" si="68"/>
        <v>74.969333333333324</v>
      </c>
      <c r="P872" s="564">
        <f t="shared" ca="1" si="69"/>
        <v>35</v>
      </c>
      <c r="Q872" s="552">
        <f t="shared" ca="1" si="70"/>
        <v>1874.2333333333336</v>
      </c>
      <c r="R872" s="563">
        <f t="shared" ca="1" si="71"/>
        <v>1874.2333333333336</v>
      </c>
      <c r="S872" s="565" t="s">
        <v>1767</v>
      </c>
    </row>
    <row r="873" spans="2:19" s="323" customFormat="1" ht="60" customHeight="1" x14ac:dyDescent="0.25">
      <c r="B873" s="861">
        <v>44812</v>
      </c>
      <c r="C873" s="583" t="s">
        <v>2349</v>
      </c>
      <c r="D873" s="583"/>
      <c r="E873" s="548" t="s">
        <v>1792</v>
      </c>
      <c r="F873" s="548" t="s">
        <v>1851</v>
      </c>
      <c r="G873" s="549" t="s">
        <v>1835</v>
      </c>
      <c r="H873" s="548" t="s">
        <v>1852</v>
      </c>
      <c r="I873" s="514" t="s">
        <v>4402</v>
      </c>
      <c r="J873" s="513" t="s">
        <v>4464</v>
      </c>
      <c r="K873" s="580">
        <v>4498.16</v>
      </c>
      <c r="L873" s="580">
        <v>53.015799999999999</v>
      </c>
      <c r="M873" s="552">
        <f t="shared" si="72"/>
        <v>84.845649787421863</v>
      </c>
      <c r="N873" s="526">
        <v>60</v>
      </c>
      <c r="O873" s="563">
        <f t="shared" si="68"/>
        <v>74.969333333333324</v>
      </c>
      <c r="P873" s="564">
        <f t="shared" ca="1" si="69"/>
        <v>35</v>
      </c>
      <c r="Q873" s="552">
        <f t="shared" ca="1" si="70"/>
        <v>1874.2333333333336</v>
      </c>
      <c r="R873" s="563">
        <f t="shared" ca="1" si="71"/>
        <v>1874.2333333333336</v>
      </c>
      <c r="S873" s="565" t="s">
        <v>1767</v>
      </c>
    </row>
    <row r="874" spans="2:19" s="323" customFormat="1" ht="60" customHeight="1" x14ac:dyDescent="0.25">
      <c r="B874" s="861">
        <v>44812</v>
      </c>
      <c r="C874" s="583" t="s">
        <v>2349</v>
      </c>
      <c r="D874" s="583"/>
      <c r="E874" s="548" t="s">
        <v>1792</v>
      </c>
      <c r="F874" s="548" t="s">
        <v>1853</v>
      </c>
      <c r="G874" s="549" t="s">
        <v>1835</v>
      </c>
      <c r="H874" s="548" t="s">
        <v>1854</v>
      </c>
      <c r="I874" s="514" t="s">
        <v>1344</v>
      </c>
      <c r="J874" s="513" t="s">
        <v>4460</v>
      </c>
      <c r="K874" s="580">
        <v>4498.16</v>
      </c>
      <c r="L874" s="580">
        <v>53.015799999999999</v>
      </c>
      <c r="M874" s="552">
        <f t="shared" si="72"/>
        <v>84.845649787421863</v>
      </c>
      <c r="N874" s="526">
        <v>60</v>
      </c>
      <c r="O874" s="563">
        <f t="shared" si="68"/>
        <v>74.969333333333324</v>
      </c>
      <c r="P874" s="564">
        <f t="shared" ca="1" si="69"/>
        <v>35</v>
      </c>
      <c r="Q874" s="552">
        <f t="shared" ca="1" si="70"/>
        <v>1874.2333333333336</v>
      </c>
      <c r="R874" s="563">
        <f t="shared" ca="1" si="71"/>
        <v>1874.2333333333336</v>
      </c>
      <c r="S874" s="565" t="s">
        <v>1767</v>
      </c>
    </row>
    <row r="875" spans="2:19" s="323" customFormat="1" ht="60" customHeight="1" x14ac:dyDescent="0.25">
      <c r="B875" s="861">
        <v>44812</v>
      </c>
      <c r="C875" s="583" t="s">
        <v>2349</v>
      </c>
      <c r="D875" s="583"/>
      <c r="E875" s="548" t="s">
        <v>1792</v>
      </c>
      <c r="F875" s="548" t="s">
        <v>1855</v>
      </c>
      <c r="G875" s="549" t="s">
        <v>1835</v>
      </c>
      <c r="H875" s="548" t="s">
        <v>1856</v>
      </c>
      <c r="I875" s="514" t="s">
        <v>45</v>
      </c>
      <c r="J875" s="513" t="s">
        <v>4463</v>
      </c>
      <c r="K875" s="580">
        <v>4498.16</v>
      </c>
      <c r="L875" s="580">
        <v>53.015799999999999</v>
      </c>
      <c r="M875" s="552">
        <f t="shared" si="72"/>
        <v>84.845649787421863</v>
      </c>
      <c r="N875" s="526">
        <v>60</v>
      </c>
      <c r="O875" s="563">
        <f t="shared" si="68"/>
        <v>74.969333333333324</v>
      </c>
      <c r="P875" s="564">
        <f t="shared" ca="1" si="69"/>
        <v>35</v>
      </c>
      <c r="Q875" s="552">
        <f t="shared" ca="1" si="70"/>
        <v>1874.2333333333336</v>
      </c>
      <c r="R875" s="563">
        <f t="shared" ca="1" si="71"/>
        <v>1874.2333333333336</v>
      </c>
      <c r="S875" s="565" t="s">
        <v>1767</v>
      </c>
    </row>
    <row r="876" spans="2:19" s="323" customFormat="1" ht="60" customHeight="1" x14ac:dyDescent="0.25">
      <c r="B876" s="861">
        <v>44812</v>
      </c>
      <c r="C876" s="583" t="s">
        <v>2349</v>
      </c>
      <c r="D876" s="583"/>
      <c r="E876" s="548" t="s">
        <v>1792</v>
      </c>
      <c r="F876" s="548" t="s">
        <v>1857</v>
      </c>
      <c r="G876" s="549" t="s">
        <v>1835</v>
      </c>
      <c r="H876" s="548" t="s">
        <v>1858</v>
      </c>
      <c r="I876" s="514" t="s">
        <v>4402</v>
      </c>
      <c r="J876" s="513" t="s">
        <v>4464</v>
      </c>
      <c r="K876" s="580">
        <v>4498.16</v>
      </c>
      <c r="L876" s="580">
        <v>53.015799999999999</v>
      </c>
      <c r="M876" s="552">
        <f t="shared" si="72"/>
        <v>84.845649787421863</v>
      </c>
      <c r="N876" s="526">
        <v>60</v>
      </c>
      <c r="O876" s="563">
        <f t="shared" si="68"/>
        <v>74.969333333333324</v>
      </c>
      <c r="P876" s="564">
        <f t="shared" ca="1" si="69"/>
        <v>35</v>
      </c>
      <c r="Q876" s="552">
        <f t="shared" ca="1" si="70"/>
        <v>1874.2333333333336</v>
      </c>
      <c r="R876" s="563">
        <f t="shared" ca="1" si="71"/>
        <v>1874.2333333333336</v>
      </c>
      <c r="S876" s="565" t="s">
        <v>1767</v>
      </c>
    </row>
    <row r="877" spans="2:19" s="323" customFormat="1" ht="60" customHeight="1" x14ac:dyDescent="0.25">
      <c r="B877" s="861">
        <v>44812</v>
      </c>
      <c r="C877" s="583" t="s">
        <v>2349</v>
      </c>
      <c r="D877" s="583"/>
      <c r="E877" s="548" t="s">
        <v>1792</v>
      </c>
      <c r="F877" s="548" t="s">
        <v>1859</v>
      </c>
      <c r="G877" s="549" t="s">
        <v>1835</v>
      </c>
      <c r="H877" s="548" t="s">
        <v>1860</v>
      </c>
      <c r="I877" s="514" t="s">
        <v>1344</v>
      </c>
      <c r="J877" s="513" t="s">
        <v>4460</v>
      </c>
      <c r="K877" s="580">
        <v>4498.16</v>
      </c>
      <c r="L877" s="580">
        <v>53.015799999999999</v>
      </c>
      <c r="M877" s="552">
        <f t="shared" si="72"/>
        <v>84.845649787421863</v>
      </c>
      <c r="N877" s="526">
        <v>60</v>
      </c>
      <c r="O877" s="563">
        <f t="shared" si="68"/>
        <v>74.969333333333324</v>
      </c>
      <c r="P877" s="564">
        <f t="shared" ca="1" si="69"/>
        <v>35</v>
      </c>
      <c r="Q877" s="552">
        <f t="shared" ca="1" si="70"/>
        <v>1874.2333333333336</v>
      </c>
      <c r="R877" s="563">
        <f t="shared" ca="1" si="71"/>
        <v>1874.2333333333336</v>
      </c>
      <c r="S877" s="565" t="s">
        <v>1767</v>
      </c>
    </row>
    <row r="878" spans="2:19" s="323" customFormat="1" ht="60" customHeight="1" x14ac:dyDescent="0.25">
      <c r="B878" s="861">
        <v>44812</v>
      </c>
      <c r="C878" s="583" t="s">
        <v>2349</v>
      </c>
      <c r="D878" s="583"/>
      <c r="E878" s="548" t="s">
        <v>1792</v>
      </c>
      <c r="F878" s="548" t="s">
        <v>1861</v>
      </c>
      <c r="G878" s="549" t="s">
        <v>1835</v>
      </c>
      <c r="H878" s="548" t="s">
        <v>1862</v>
      </c>
      <c r="I878" s="514" t="s">
        <v>4403</v>
      </c>
      <c r="J878" s="513" t="s">
        <v>4466</v>
      </c>
      <c r="K878" s="580">
        <v>4498.16</v>
      </c>
      <c r="L878" s="580">
        <v>53.015799999999999</v>
      </c>
      <c r="M878" s="552">
        <f t="shared" si="72"/>
        <v>84.845649787421863</v>
      </c>
      <c r="N878" s="526">
        <v>60</v>
      </c>
      <c r="O878" s="563">
        <f t="shared" si="68"/>
        <v>74.969333333333324</v>
      </c>
      <c r="P878" s="564">
        <f t="shared" ca="1" si="69"/>
        <v>35</v>
      </c>
      <c r="Q878" s="552">
        <f t="shared" ca="1" si="70"/>
        <v>1874.2333333333336</v>
      </c>
      <c r="R878" s="563">
        <f t="shared" ca="1" si="71"/>
        <v>1874.2333333333336</v>
      </c>
      <c r="S878" s="565" t="s">
        <v>1767</v>
      </c>
    </row>
    <row r="879" spans="2:19" s="323" customFormat="1" ht="60" customHeight="1" x14ac:dyDescent="0.25">
      <c r="B879" s="861">
        <v>44812</v>
      </c>
      <c r="C879" s="583" t="s">
        <v>2349</v>
      </c>
      <c r="D879" s="583"/>
      <c r="E879" s="548" t="s">
        <v>1792</v>
      </c>
      <c r="F879" s="548" t="s">
        <v>1863</v>
      </c>
      <c r="G879" s="549" t="s">
        <v>1835</v>
      </c>
      <c r="H879" s="548" t="s">
        <v>1864</v>
      </c>
      <c r="I879" s="514" t="s">
        <v>4400</v>
      </c>
      <c r="J879" s="513" t="s">
        <v>4462</v>
      </c>
      <c r="K879" s="580">
        <v>4498.16</v>
      </c>
      <c r="L879" s="580">
        <v>53.015799999999999</v>
      </c>
      <c r="M879" s="552">
        <f t="shared" si="72"/>
        <v>84.845649787421863</v>
      </c>
      <c r="N879" s="526">
        <v>60</v>
      </c>
      <c r="O879" s="563">
        <f t="shared" si="68"/>
        <v>74.969333333333324</v>
      </c>
      <c r="P879" s="564">
        <f t="shared" ca="1" si="69"/>
        <v>35</v>
      </c>
      <c r="Q879" s="552">
        <f t="shared" ca="1" si="70"/>
        <v>1874.2333333333336</v>
      </c>
      <c r="R879" s="563">
        <f t="shared" ca="1" si="71"/>
        <v>1874.2333333333336</v>
      </c>
      <c r="S879" s="565" t="s">
        <v>1767</v>
      </c>
    </row>
    <row r="880" spans="2:19" s="323" customFormat="1" ht="60" customHeight="1" x14ac:dyDescent="0.25">
      <c r="B880" s="861">
        <v>44812</v>
      </c>
      <c r="C880" s="583" t="s">
        <v>2349</v>
      </c>
      <c r="D880" s="583"/>
      <c r="E880" s="548" t="s">
        <v>1792</v>
      </c>
      <c r="F880" s="548" t="s">
        <v>1865</v>
      </c>
      <c r="G880" s="549" t="s">
        <v>1835</v>
      </c>
      <c r="H880" s="548" t="s">
        <v>1866</v>
      </c>
      <c r="I880" s="514" t="s">
        <v>1379</v>
      </c>
      <c r="J880" s="513" t="s">
        <v>4465</v>
      </c>
      <c r="K880" s="580">
        <v>4498.16</v>
      </c>
      <c r="L880" s="580">
        <v>53.015799999999999</v>
      </c>
      <c r="M880" s="552">
        <f t="shared" si="72"/>
        <v>84.845649787421863</v>
      </c>
      <c r="N880" s="526">
        <v>60</v>
      </c>
      <c r="O880" s="563">
        <f t="shared" si="68"/>
        <v>74.969333333333324</v>
      </c>
      <c r="P880" s="564">
        <f t="shared" ca="1" si="69"/>
        <v>35</v>
      </c>
      <c r="Q880" s="552">
        <f t="shared" ca="1" si="70"/>
        <v>1874.2333333333336</v>
      </c>
      <c r="R880" s="563">
        <f t="shared" ca="1" si="71"/>
        <v>1874.2333333333336</v>
      </c>
      <c r="S880" s="565" t="s">
        <v>1767</v>
      </c>
    </row>
    <row r="881" spans="2:19" s="323" customFormat="1" ht="60" customHeight="1" x14ac:dyDescent="0.25">
      <c r="B881" s="861">
        <v>44812</v>
      </c>
      <c r="C881" s="583" t="s">
        <v>2349</v>
      </c>
      <c r="D881" s="583"/>
      <c r="E881" s="548" t="s">
        <v>1792</v>
      </c>
      <c r="F881" s="548" t="s">
        <v>1867</v>
      </c>
      <c r="G881" s="549" t="s">
        <v>1835</v>
      </c>
      <c r="H881" s="548" t="s">
        <v>1868</v>
      </c>
      <c r="I881" s="514" t="s">
        <v>4404</v>
      </c>
      <c r="J881" s="513" t="s">
        <v>4464</v>
      </c>
      <c r="K881" s="580">
        <v>4498.16</v>
      </c>
      <c r="L881" s="580">
        <v>53.015799999999999</v>
      </c>
      <c r="M881" s="552">
        <f t="shared" si="72"/>
        <v>84.845649787421863</v>
      </c>
      <c r="N881" s="526">
        <v>60</v>
      </c>
      <c r="O881" s="563">
        <f t="shared" si="68"/>
        <v>74.969333333333324</v>
      </c>
      <c r="P881" s="564">
        <f t="shared" ca="1" si="69"/>
        <v>35</v>
      </c>
      <c r="Q881" s="552">
        <f t="shared" ca="1" si="70"/>
        <v>1874.2333333333336</v>
      </c>
      <c r="R881" s="563">
        <f t="shared" ca="1" si="71"/>
        <v>1874.2333333333336</v>
      </c>
      <c r="S881" s="565" t="s">
        <v>1767</v>
      </c>
    </row>
    <row r="882" spans="2:19" s="323" customFormat="1" ht="60" customHeight="1" x14ac:dyDescent="0.25">
      <c r="B882" s="861">
        <v>44812</v>
      </c>
      <c r="C882" s="583" t="s">
        <v>2349</v>
      </c>
      <c r="D882" s="583"/>
      <c r="E882" s="548" t="s">
        <v>1792</v>
      </c>
      <c r="F882" s="548" t="s">
        <v>1869</v>
      </c>
      <c r="G882" s="549" t="s">
        <v>1835</v>
      </c>
      <c r="H882" s="548" t="s">
        <v>1870</v>
      </c>
      <c r="I882" s="514" t="s">
        <v>4400</v>
      </c>
      <c r="J882" s="513" t="s">
        <v>4462</v>
      </c>
      <c r="K882" s="580">
        <v>4498.16</v>
      </c>
      <c r="L882" s="580">
        <v>53.015799999999999</v>
      </c>
      <c r="M882" s="552">
        <f t="shared" si="72"/>
        <v>84.845649787421863</v>
      </c>
      <c r="N882" s="526">
        <v>60</v>
      </c>
      <c r="O882" s="563">
        <f t="shared" si="68"/>
        <v>74.969333333333324</v>
      </c>
      <c r="P882" s="564">
        <f t="shared" ca="1" si="69"/>
        <v>35</v>
      </c>
      <c r="Q882" s="552">
        <f t="shared" ca="1" si="70"/>
        <v>1874.2333333333336</v>
      </c>
      <c r="R882" s="563">
        <f t="shared" ca="1" si="71"/>
        <v>1874.2333333333336</v>
      </c>
      <c r="S882" s="565" t="s">
        <v>1767</v>
      </c>
    </row>
    <row r="883" spans="2:19" s="323" customFormat="1" ht="60" customHeight="1" x14ac:dyDescent="0.25">
      <c r="B883" s="861">
        <v>44812</v>
      </c>
      <c r="C883" s="583" t="s">
        <v>2349</v>
      </c>
      <c r="D883" s="583"/>
      <c r="E883" s="548" t="s">
        <v>1792</v>
      </c>
      <c r="F883" s="548" t="s">
        <v>1871</v>
      </c>
      <c r="G883" s="549" t="s">
        <v>1835</v>
      </c>
      <c r="H883" s="548" t="s">
        <v>1872</v>
      </c>
      <c r="I883" s="514" t="s">
        <v>4400</v>
      </c>
      <c r="J883" s="513" t="s">
        <v>4462</v>
      </c>
      <c r="K883" s="580">
        <v>4498.16</v>
      </c>
      <c r="L883" s="580">
        <v>53.015799999999999</v>
      </c>
      <c r="M883" s="552">
        <f t="shared" si="72"/>
        <v>84.845649787421863</v>
      </c>
      <c r="N883" s="526">
        <v>60</v>
      </c>
      <c r="O883" s="563">
        <f t="shared" si="68"/>
        <v>74.969333333333324</v>
      </c>
      <c r="P883" s="564">
        <f t="shared" ca="1" si="69"/>
        <v>35</v>
      </c>
      <c r="Q883" s="552">
        <f t="shared" ca="1" si="70"/>
        <v>1874.2333333333336</v>
      </c>
      <c r="R883" s="563">
        <f t="shared" ca="1" si="71"/>
        <v>1874.2333333333336</v>
      </c>
      <c r="S883" s="565" t="s">
        <v>1767</v>
      </c>
    </row>
    <row r="884" spans="2:19" s="323" customFormat="1" ht="60" customHeight="1" x14ac:dyDescent="0.25">
      <c r="B884" s="861">
        <v>44812</v>
      </c>
      <c r="C884" s="583" t="s">
        <v>2349</v>
      </c>
      <c r="D884" s="583"/>
      <c r="E884" s="548" t="s">
        <v>1792</v>
      </c>
      <c r="F884" s="548" t="s">
        <v>1793</v>
      </c>
      <c r="G884" s="549" t="s">
        <v>1794</v>
      </c>
      <c r="H884" s="548" t="s">
        <v>1795</v>
      </c>
      <c r="I884" s="548" t="s">
        <v>1379</v>
      </c>
      <c r="J884" s="513" t="s">
        <v>4459</v>
      </c>
      <c r="K884" s="580">
        <v>66039.88</v>
      </c>
      <c r="L884" s="580">
        <v>53.015799999999999</v>
      </c>
      <c r="M884" s="552">
        <f t="shared" si="72"/>
        <v>1245.6641227709476</v>
      </c>
      <c r="N884" s="526">
        <v>60</v>
      </c>
      <c r="O884" s="563">
        <f t="shared" si="68"/>
        <v>1100.6646666666668</v>
      </c>
      <c r="P884" s="564">
        <f t="shared" ca="1" si="69"/>
        <v>35</v>
      </c>
      <c r="Q884" s="552">
        <f t="shared" ca="1" si="70"/>
        <v>27516.616666666669</v>
      </c>
      <c r="R884" s="563">
        <f t="shared" ca="1" si="71"/>
        <v>27516.616666666669</v>
      </c>
      <c r="S884" s="565" t="s">
        <v>1767</v>
      </c>
    </row>
    <row r="885" spans="2:19" s="323" customFormat="1" ht="60" customHeight="1" x14ac:dyDescent="0.25">
      <c r="B885" s="861">
        <v>44812</v>
      </c>
      <c r="C885" s="583" t="s">
        <v>2349</v>
      </c>
      <c r="D885" s="583"/>
      <c r="E885" s="548" t="s">
        <v>1792</v>
      </c>
      <c r="F885" s="548" t="s">
        <v>1797</v>
      </c>
      <c r="G885" s="549" t="s">
        <v>1798</v>
      </c>
      <c r="H885" s="548" t="s">
        <v>1799</v>
      </c>
      <c r="I885" s="569" t="s">
        <v>1344</v>
      </c>
      <c r="J885" s="569" t="s">
        <v>4399</v>
      </c>
      <c r="K885" s="580">
        <v>66039.88</v>
      </c>
      <c r="L885" s="580">
        <v>53.015799999999999</v>
      </c>
      <c r="M885" s="552">
        <f t="shared" si="72"/>
        <v>1245.6641227709476</v>
      </c>
      <c r="N885" s="526">
        <v>60</v>
      </c>
      <c r="O885" s="563">
        <f t="shared" si="68"/>
        <v>1100.6646666666668</v>
      </c>
      <c r="P885" s="564">
        <f t="shared" ca="1" si="69"/>
        <v>35</v>
      </c>
      <c r="Q885" s="552">
        <f t="shared" ca="1" si="70"/>
        <v>27516.616666666669</v>
      </c>
      <c r="R885" s="563">
        <f t="shared" ca="1" si="71"/>
        <v>27516.616666666669</v>
      </c>
      <c r="S885" s="565" t="s">
        <v>1767</v>
      </c>
    </row>
    <row r="886" spans="2:19" s="323" customFormat="1" ht="60" customHeight="1" x14ac:dyDescent="0.25">
      <c r="B886" s="861">
        <v>44812</v>
      </c>
      <c r="C886" s="583" t="s">
        <v>2349</v>
      </c>
      <c r="D886" s="583"/>
      <c r="E886" s="548" t="s">
        <v>1792</v>
      </c>
      <c r="F886" s="548" t="s">
        <v>1800</v>
      </c>
      <c r="G886" s="549" t="s">
        <v>1798</v>
      </c>
      <c r="H886" s="548" t="s">
        <v>1801</v>
      </c>
      <c r="I886" s="513" t="s">
        <v>1344</v>
      </c>
      <c r="J886" s="513" t="s">
        <v>4460</v>
      </c>
      <c r="K886" s="580">
        <v>66039.88</v>
      </c>
      <c r="L886" s="580">
        <v>53.015799999999999</v>
      </c>
      <c r="M886" s="552">
        <f t="shared" si="72"/>
        <v>1245.6641227709476</v>
      </c>
      <c r="N886" s="526">
        <v>60</v>
      </c>
      <c r="O886" s="563">
        <f t="shared" si="68"/>
        <v>1100.6646666666668</v>
      </c>
      <c r="P886" s="564">
        <f t="shared" ca="1" si="69"/>
        <v>35</v>
      </c>
      <c r="Q886" s="552">
        <f t="shared" ca="1" si="70"/>
        <v>27516.616666666669</v>
      </c>
      <c r="R886" s="563">
        <f t="shared" ca="1" si="71"/>
        <v>27516.616666666669</v>
      </c>
      <c r="S886" s="565" t="s">
        <v>1767</v>
      </c>
    </row>
    <row r="887" spans="2:19" s="323" customFormat="1" ht="60" customHeight="1" x14ac:dyDescent="0.25">
      <c r="B887" s="861">
        <v>44812</v>
      </c>
      <c r="C887" s="583" t="s">
        <v>2349</v>
      </c>
      <c r="D887" s="583"/>
      <c r="E887" s="548" t="s">
        <v>1792</v>
      </c>
      <c r="F887" s="548" t="s">
        <v>1802</v>
      </c>
      <c r="G887" s="549" t="s">
        <v>1798</v>
      </c>
      <c r="H887" s="548" t="s">
        <v>1803</v>
      </c>
      <c r="I887" s="513" t="s">
        <v>4461</v>
      </c>
      <c r="J887" s="513" t="s">
        <v>4462</v>
      </c>
      <c r="K887" s="580">
        <v>66039.88</v>
      </c>
      <c r="L887" s="580">
        <v>53.015799999999999</v>
      </c>
      <c r="M887" s="552">
        <f t="shared" si="72"/>
        <v>1245.6641227709476</v>
      </c>
      <c r="N887" s="526">
        <v>60</v>
      </c>
      <c r="O887" s="563">
        <f t="shared" si="68"/>
        <v>1100.6646666666668</v>
      </c>
      <c r="P887" s="564">
        <f t="shared" ca="1" si="69"/>
        <v>35</v>
      </c>
      <c r="Q887" s="552">
        <f t="shared" ca="1" si="70"/>
        <v>27516.616666666669</v>
      </c>
      <c r="R887" s="563">
        <f t="shared" ca="1" si="71"/>
        <v>27516.616666666669</v>
      </c>
      <c r="S887" s="565" t="s">
        <v>1767</v>
      </c>
    </row>
    <row r="888" spans="2:19" s="323" customFormat="1" ht="60" customHeight="1" x14ac:dyDescent="0.25">
      <c r="B888" s="861">
        <v>44812</v>
      </c>
      <c r="C888" s="583" t="s">
        <v>2349</v>
      </c>
      <c r="D888" s="583"/>
      <c r="E888" s="548" t="s">
        <v>1792</v>
      </c>
      <c r="F888" s="548" t="s">
        <v>1804</v>
      </c>
      <c r="G888" s="549" t="s">
        <v>1798</v>
      </c>
      <c r="H888" s="548" t="s">
        <v>1805</v>
      </c>
      <c r="I888" s="514" t="s">
        <v>4368</v>
      </c>
      <c r="J888" s="513" t="s">
        <v>4463</v>
      </c>
      <c r="K888" s="580">
        <v>66039.88</v>
      </c>
      <c r="L888" s="580">
        <v>53.015799999999999</v>
      </c>
      <c r="M888" s="552">
        <f t="shared" si="72"/>
        <v>1245.6641227709476</v>
      </c>
      <c r="N888" s="526">
        <v>60</v>
      </c>
      <c r="O888" s="563">
        <f t="shared" si="68"/>
        <v>1100.6646666666668</v>
      </c>
      <c r="P888" s="564">
        <f t="shared" ca="1" si="69"/>
        <v>35</v>
      </c>
      <c r="Q888" s="552">
        <f t="shared" ca="1" si="70"/>
        <v>27516.616666666669</v>
      </c>
      <c r="R888" s="563">
        <f t="shared" ca="1" si="71"/>
        <v>27516.616666666669</v>
      </c>
      <c r="S888" s="565" t="s">
        <v>1767</v>
      </c>
    </row>
    <row r="889" spans="2:19" s="323" customFormat="1" ht="60" customHeight="1" x14ac:dyDescent="0.25">
      <c r="B889" s="861">
        <v>44812</v>
      </c>
      <c r="C889" s="583" t="s">
        <v>2349</v>
      </c>
      <c r="D889" s="583"/>
      <c r="E889" s="548" t="s">
        <v>1792</v>
      </c>
      <c r="F889" s="548" t="s">
        <v>1806</v>
      </c>
      <c r="G889" s="549" t="s">
        <v>1798</v>
      </c>
      <c r="H889" s="548" t="s">
        <v>1807</v>
      </c>
      <c r="I889" s="514" t="s">
        <v>1344</v>
      </c>
      <c r="J889" s="513" t="s">
        <v>4460</v>
      </c>
      <c r="K889" s="580">
        <v>66039.88</v>
      </c>
      <c r="L889" s="580">
        <v>53.015799999999999</v>
      </c>
      <c r="M889" s="552">
        <f t="shared" si="72"/>
        <v>1245.6641227709476</v>
      </c>
      <c r="N889" s="526">
        <v>60</v>
      </c>
      <c r="O889" s="563">
        <f t="shared" si="68"/>
        <v>1100.6646666666668</v>
      </c>
      <c r="P889" s="564">
        <f t="shared" ca="1" si="69"/>
        <v>35</v>
      </c>
      <c r="Q889" s="552">
        <f t="shared" ca="1" si="70"/>
        <v>27516.616666666669</v>
      </c>
      <c r="R889" s="563">
        <f t="shared" ca="1" si="71"/>
        <v>27516.616666666669</v>
      </c>
      <c r="S889" s="565" t="s">
        <v>1767</v>
      </c>
    </row>
    <row r="890" spans="2:19" s="323" customFormat="1" ht="60" customHeight="1" x14ac:dyDescent="0.25">
      <c r="B890" s="861">
        <v>44812</v>
      </c>
      <c r="C890" s="583" t="s">
        <v>2349</v>
      </c>
      <c r="D890" s="583"/>
      <c r="E890" s="548" t="s">
        <v>1792</v>
      </c>
      <c r="F890" s="548" t="s">
        <v>1808</v>
      </c>
      <c r="G890" s="549" t="s">
        <v>1798</v>
      </c>
      <c r="H890" s="548" t="s">
        <v>1809</v>
      </c>
      <c r="I890" s="514" t="s">
        <v>4400</v>
      </c>
      <c r="J890" s="513" t="s">
        <v>4462</v>
      </c>
      <c r="K890" s="580">
        <v>66039.88</v>
      </c>
      <c r="L890" s="580">
        <v>53.015799999999999</v>
      </c>
      <c r="M890" s="552">
        <f t="shared" si="72"/>
        <v>1245.6641227709476</v>
      </c>
      <c r="N890" s="526">
        <v>60</v>
      </c>
      <c r="O890" s="563">
        <f t="shared" si="68"/>
        <v>1100.6646666666668</v>
      </c>
      <c r="P890" s="564">
        <f t="shared" ca="1" si="69"/>
        <v>35</v>
      </c>
      <c r="Q890" s="552">
        <f t="shared" ca="1" si="70"/>
        <v>27516.616666666669</v>
      </c>
      <c r="R890" s="563">
        <f t="shared" ca="1" si="71"/>
        <v>27516.616666666669</v>
      </c>
      <c r="S890" s="565" t="s">
        <v>1767</v>
      </c>
    </row>
    <row r="891" spans="2:19" s="323" customFormat="1" ht="60" customHeight="1" x14ac:dyDescent="0.25">
      <c r="B891" s="861">
        <v>44812</v>
      </c>
      <c r="C891" s="583" t="s">
        <v>2349</v>
      </c>
      <c r="D891" s="583"/>
      <c r="E891" s="548" t="s">
        <v>1792</v>
      </c>
      <c r="F891" s="548" t="s">
        <v>1810</v>
      </c>
      <c r="G891" s="549" t="s">
        <v>1798</v>
      </c>
      <c r="H891" s="548" t="s">
        <v>1811</v>
      </c>
      <c r="I891" s="514" t="s">
        <v>45</v>
      </c>
      <c r="J891" s="513" t="s">
        <v>4463</v>
      </c>
      <c r="K891" s="580">
        <v>66039.88</v>
      </c>
      <c r="L891" s="580">
        <v>53.015799999999999</v>
      </c>
      <c r="M891" s="552">
        <f t="shared" si="72"/>
        <v>1245.6641227709476</v>
      </c>
      <c r="N891" s="526">
        <v>60</v>
      </c>
      <c r="O891" s="563">
        <f t="shared" si="68"/>
        <v>1100.6646666666668</v>
      </c>
      <c r="P891" s="564">
        <f t="shared" ca="1" si="69"/>
        <v>35</v>
      </c>
      <c r="Q891" s="552">
        <f t="shared" ca="1" si="70"/>
        <v>27516.616666666669</v>
      </c>
      <c r="R891" s="563">
        <f t="shared" ca="1" si="71"/>
        <v>27516.616666666669</v>
      </c>
      <c r="S891" s="565" t="s">
        <v>1767</v>
      </c>
    </row>
    <row r="892" spans="2:19" s="323" customFormat="1" ht="60" customHeight="1" x14ac:dyDescent="0.25">
      <c r="B892" s="861">
        <v>44812</v>
      </c>
      <c r="C892" s="583" t="s">
        <v>2349</v>
      </c>
      <c r="D892" s="583"/>
      <c r="E892" s="548" t="s">
        <v>1792</v>
      </c>
      <c r="F892" s="548" t="s">
        <v>1812</v>
      </c>
      <c r="G892" s="549" t="s">
        <v>1798</v>
      </c>
      <c r="H892" s="548" t="s">
        <v>1813</v>
      </c>
      <c r="I892" s="514" t="s">
        <v>4400</v>
      </c>
      <c r="J892" s="513" t="s">
        <v>4462</v>
      </c>
      <c r="K892" s="580">
        <v>66039.88</v>
      </c>
      <c r="L892" s="580">
        <v>53.015799999999999</v>
      </c>
      <c r="M892" s="552">
        <f t="shared" si="72"/>
        <v>1245.6641227709476</v>
      </c>
      <c r="N892" s="526">
        <v>60</v>
      </c>
      <c r="O892" s="563">
        <f t="shared" si="68"/>
        <v>1100.6646666666668</v>
      </c>
      <c r="P892" s="564">
        <f t="shared" ca="1" si="69"/>
        <v>35</v>
      </c>
      <c r="Q892" s="552">
        <f t="shared" ca="1" si="70"/>
        <v>27516.616666666669</v>
      </c>
      <c r="R892" s="563">
        <f t="shared" ca="1" si="71"/>
        <v>27516.616666666669</v>
      </c>
      <c r="S892" s="565" t="s">
        <v>1767</v>
      </c>
    </row>
    <row r="893" spans="2:19" s="323" customFormat="1" ht="60" customHeight="1" x14ac:dyDescent="0.25">
      <c r="B893" s="861">
        <v>44812</v>
      </c>
      <c r="C893" s="583" t="s">
        <v>2349</v>
      </c>
      <c r="D893" s="583"/>
      <c r="E893" s="548" t="s">
        <v>1792</v>
      </c>
      <c r="F893" s="548" t="s">
        <v>1814</v>
      </c>
      <c r="G893" s="549" t="s">
        <v>1798</v>
      </c>
      <c r="H893" s="548" t="s">
        <v>1815</v>
      </c>
      <c r="I893" s="514" t="s">
        <v>4407</v>
      </c>
      <c r="J893" s="513" t="s">
        <v>4464</v>
      </c>
      <c r="K893" s="580">
        <v>66039.88</v>
      </c>
      <c r="L893" s="580">
        <v>53.015799999999999</v>
      </c>
      <c r="M893" s="552">
        <f t="shared" si="72"/>
        <v>1245.6641227709476</v>
      </c>
      <c r="N893" s="526">
        <v>60</v>
      </c>
      <c r="O893" s="563">
        <f t="shared" si="68"/>
        <v>1100.6646666666668</v>
      </c>
      <c r="P893" s="564">
        <f t="shared" ca="1" si="69"/>
        <v>35</v>
      </c>
      <c r="Q893" s="552">
        <f t="shared" ca="1" si="70"/>
        <v>27516.616666666669</v>
      </c>
      <c r="R893" s="563">
        <f t="shared" ca="1" si="71"/>
        <v>27516.616666666669</v>
      </c>
      <c r="S893" s="565" t="s">
        <v>1767</v>
      </c>
    </row>
    <row r="894" spans="2:19" s="323" customFormat="1" ht="60" customHeight="1" x14ac:dyDescent="0.25">
      <c r="B894" s="861">
        <v>44812</v>
      </c>
      <c r="C894" s="583" t="s">
        <v>2349</v>
      </c>
      <c r="D894" s="583"/>
      <c r="E894" s="548" t="s">
        <v>1792</v>
      </c>
      <c r="F894" s="548" t="s">
        <v>1816</v>
      </c>
      <c r="G894" s="549" t="s">
        <v>1798</v>
      </c>
      <c r="H894" s="548" t="s">
        <v>1817</v>
      </c>
      <c r="I894" s="514" t="s">
        <v>1379</v>
      </c>
      <c r="J894" s="513" t="s">
        <v>4465</v>
      </c>
      <c r="K894" s="580">
        <v>66039.88</v>
      </c>
      <c r="L894" s="580">
        <v>53.015799999999999</v>
      </c>
      <c r="M894" s="552">
        <f t="shared" si="72"/>
        <v>1245.6641227709476</v>
      </c>
      <c r="N894" s="526">
        <v>60</v>
      </c>
      <c r="O894" s="563">
        <f t="shared" si="68"/>
        <v>1100.6646666666668</v>
      </c>
      <c r="P894" s="564">
        <f t="shared" ca="1" si="69"/>
        <v>35</v>
      </c>
      <c r="Q894" s="552">
        <f t="shared" ca="1" si="70"/>
        <v>27516.616666666669</v>
      </c>
      <c r="R894" s="563">
        <f t="shared" ca="1" si="71"/>
        <v>27516.616666666669</v>
      </c>
      <c r="S894" s="565" t="s">
        <v>1767</v>
      </c>
    </row>
    <row r="895" spans="2:19" s="323" customFormat="1" ht="60" customHeight="1" x14ac:dyDescent="0.25">
      <c r="B895" s="861">
        <v>44812</v>
      </c>
      <c r="C895" s="583" t="s">
        <v>2349</v>
      </c>
      <c r="D895" s="583"/>
      <c r="E895" s="548" t="s">
        <v>1792</v>
      </c>
      <c r="F895" s="548" t="s">
        <v>1818</v>
      </c>
      <c r="G895" s="549" t="s">
        <v>1798</v>
      </c>
      <c r="H895" s="548" t="s">
        <v>1819</v>
      </c>
      <c r="I895" s="514" t="s">
        <v>4406</v>
      </c>
      <c r="J895" s="513" t="s">
        <v>4466</v>
      </c>
      <c r="K895" s="580">
        <v>66039.88</v>
      </c>
      <c r="L895" s="580">
        <v>53.015799999999999</v>
      </c>
      <c r="M895" s="552">
        <f t="shared" si="72"/>
        <v>1245.6641227709476</v>
      </c>
      <c r="N895" s="526">
        <v>60</v>
      </c>
      <c r="O895" s="563">
        <f t="shared" si="68"/>
        <v>1100.6646666666668</v>
      </c>
      <c r="P895" s="564">
        <f t="shared" ca="1" si="69"/>
        <v>35</v>
      </c>
      <c r="Q895" s="552">
        <f t="shared" ca="1" si="70"/>
        <v>27516.616666666669</v>
      </c>
      <c r="R895" s="563">
        <f t="shared" ca="1" si="71"/>
        <v>27516.616666666669</v>
      </c>
      <c r="S895" s="565" t="s">
        <v>1767</v>
      </c>
    </row>
    <row r="896" spans="2:19" s="323" customFormat="1" ht="60" customHeight="1" x14ac:dyDescent="0.25">
      <c r="B896" s="861">
        <v>44812</v>
      </c>
      <c r="C896" s="583" t="s">
        <v>2349</v>
      </c>
      <c r="D896" s="583"/>
      <c r="E896" s="548" t="s">
        <v>1792</v>
      </c>
      <c r="F896" s="548" t="s">
        <v>1820</v>
      </c>
      <c r="G896" s="549" t="s">
        <v>1798</v>
      </c>
      <c r="H896" s="548" t="s">
        <v>1821</v>
      </c>
      <c r="I896" s="514" t="s">
        <v>4401</v>
      </c>
      <c r="J896" s="513" t="s">
        <v>4464</v>
      </c>
      <c r="K896" s="580">
        <v>66039.88</v>
      </c>
      <c r="L896" s="580">
        <v>53.015799999999999</v>
      </c>
      <c r="M896" s="552">
        <f t="shared" si="72"/>
        <v>1245.6641227709476</v>
      </c>
      <c r="N896" s="526">
        <v>60</v>
      </c>
      <c r="O896" s="563">
        <f t="shared" si="68"/>
        <v>1100.6646666666668</v>
      </c>
      <c r="P896" s="564">
        <f t="shared" ca="1" si="69"/>
        <v>35</v>
      </c>
      <c r="Q896" s="552">
        <f t="shared" ca="1" si="70"/>
        <v>27516.616666666669</v>
      </c>
      <c r="R896" s="563">
        <f t="shared" ca="1" si="71"/>
        <v>27516.616666666669</v>
      </c>
      <c r="S896" s="565" t="s">
        <v>1767</v>
      </c>
    </row>
    <row r="897" spans="2:19" s="323" customFormat="1" ht="60" customHeight="1" x14ac:dyDescent="0.25">
      <c r="B897" s="861">
        <v>44812</v>
      </c>
      <c r="C897" s="583" t="s">
        <v>2349</v>
      </c>
      <c r="D897" s="583"/>
      <c r="E897" s="548" t="s">
        <v>1792</v>
      </c>
      <c r="F897" s="548" t="s">
        <v>1822</v>
      </c>
      <c r="G897" s="549" t="s">
        <v>1798</v>
      </c>
      <c r="H897" s="548" t="s">
        <v>1823</v>
      </c>
      <c r="I897" s="514" t="s">
        <v>1379</v>
      </c>
      <c r="J897" s="513" t="s">
        <v>4465</v>
      </c>
      <c r="K897" s="580">
        <v>66039.88</v>
      </c>
      <c r="L897" s="580">
        <v>53.015799999999999</v>
      </c>
      <c r="M897" s="552">
        <f t="shared" si="72"/>
        <v>1245.6641227709476</v>
      </c>
      <c r="N897" s="526">
        <v>60</v>
      </c>
      <c r="O897" s="563">
        <f t="shared" si="68"/>
        <v>1100.6646666666668</v>
      </c>
      <c r="P897" s="564">
        <f t="shared" ca="1" si="69"/>
        <v>35</v>
      </c>
      <c r="Q897" s="552">
        <f t="shared" ca="1" si="70"/>
        <v>27516.616666666669</v>
      </c>
      <c r="R897" s="563">
        <f t="shared" ca="1" si="71"/>
        <v>27516.616666666669</v>
      </c>
      <c r="S897" s="565" t="s">
        <v>1767</v>
      </c>
    </row>
    <row r="898" spans="2:19" s="323" customFormat="1" ht="60" customHeight="1" x14ac:dyDescent="0.25">
      <c r="B898" s="861">
        <v>44812</v>
      </c>
      <c r="C898" s="583" t="s">
        <v>2349</v>
      </c>
      <c r="D898" s="583"/>
      <c r="E898" s="548" t="s">
        <v>1792</v>
      </c>
      <c r="F898" s="548" t="s">
        <v>1824</v>
      </c>
      <c r="G898" s="549" t="s">
        <v>1798</v>
      </c>
      <c r="H898" s="548" t="s">
        <v>1825</v>
      </c>
      <c r="I898" s="514" t="s">
        <v>1344</v>
      </c>
      <c r="J898" s="513" t="s">
        <v>4460</v>
      </c>
      <c r="K898" s="580">
        <v>66039.88</v>
      </c>
      <c r="L898" s="580">
        <v>53.015799999999999</v>
      </c>
      <c r="M898" s="552">
        <f t="shared" si="72"/>
        <v>1245.6641227709476</v>
      </c>
      <c r="N898" s="526">
        <v>60</v>
      </c>
      <c r="O898" s="563">
        <f t="shared" si="68"/>
        <v>1100.6646666666668</v>
      </c>
      <c r="P898" s="564">
        <f t="shared" ca="1" si="69"/>
        <v>35</v>
      </c>
      <c r="Q898" s="552">
        <f t="shared" ca="1" si="70"/>
        <v>27516.616666666669</v>
      </c>
      <c r="R898" s="563">
        <f t="shared" ca="1" si="71"/>
        <v>27516.616666666669</v>
      </c>
      <c r="S898" s="565" t="s">
        <v>1767</v>
      </c>
    </row>
    <row r="899" spans="2:19" s="323" customFormat="1" ht="60" customHeight="1" x14ac:dyDescent="0.25">
      <c r="B899" s="861">
        <v>44812</v>
      </c>
      <c r="C899" s="583" t="s">
        <v>2349</v>
      </c>
      <c r="D899" s="583"/>
      <c r="E899" s="548" t="s">
        <v>1792</v>
      </c>
      <c r="F899" s="548" t="s">
        <v>1826</v>
      </c>
      <c r="G899" s="549" t="s">
        <v>1798</v>
      </c>
      <c r="H899" s="548" t="s">
        <v>1827</v>
      </c>
      <c r="I899" s="514" t="s">
        <v>1379</v>
      </c>
      <c r="J899" s="513" t="s">
        <v>4465</v>
      </c>
      <c r="K899" s="580">
        <v>66039.88</v>
      </c>
      <c r="L899" s="580">
        <v>53.015799999999999</v>
      </c>
      <c r="M899" s="552">
        <f t="shared" si="72"/>
        <v>1245.6641227709476</v>
      </c>
      <c r="N899" s="526">
        <v>60</v>
      </c>
      <c r="O899" s="563">
        <f t="shared" si="68"/>
        <v>1100.6646666666668</v>
      </c>
      <c r="P899" s="564">
        <f t="shared" ca="1" si="69"/>
        <v>35</v>
      </c>
      <c r="Q899" s="552">
        <f t="shared" ca="1" si="70"/>
        <v>27516.616666666669</v>
      </c>
      <c r="R899" s="563">
        <f t="shared" ca="1" si="71"/>
        <v>27516.616666666669</v>
      </c>
      <c r="S899" s="565" t="s">
        <v>1767</v>
      </c>
    </row>
    <row r="900" spans="2:19" s="323" customFormat="1" ht="60" customHeight="1" x14ac:dyDescent="0.25">
      <c r="B900" s="861">
        <v>44812</v>
      </c>
      <c r="C900" s="583" t="s">
        <v>2349</v>
      </c>
      <c r="D900" s="583"/>
      <c r="E900" s="548" t="s">
        <v>1792</v>
      </c>
      <c r="F900" s="548" t="s">
        <v>1828</v>
      </c>
      <c r="G900" s="549" t="s">
        <v>1798</v>
      </c>
      <c r="H900" s="548" t="s">
        <v>1829</v>
      </c>
      <c r="I900" s="514" t="s">
        <v>4402</v>
      </c>
      <c r="J900" s="513" t="s">
        <v>4464</v>
      </c>
      <c r="K900" s="580">
        <v>66039.88</v>
      </c>
      <c r="L900" s="580">
        <v>53.015799999999999</v>
      </c>
      <c r="M900" s="552">
        <f t="shared" si="72"/>
        <v>1245.6641227709476</v>
      </c>
      <c r="N900" s="526">
        <v>60</v>
      </c>
      <c r="O900" s="563">
        <f t="shared" si="68"/>
        <v>1100.6646666666668</v>
      </c>
      <c r="P900" s="564">
        <f t="shared" ca="1" si="69"/>
        <v>35</v>
      </c>
      <c r="Q900" s="552">
        <f t="shared" ca="1" si="70"/>
        <v>27516.616666666669</v>
      </c>
      <c r="R900" s="563">
        <f t="shared" ca="1" si="71"/>
        <v>27516.616666666669</v>
      </c>
      <c r="S900" s="565" t="s">
        <v>1767</v>
      </c>
    </row>
    <row r="901" spans="2:19" s="323" customFormat="1" ht="65.099999999999994" customHeight="1" x14ac:dyDescent="0.25">
      <c r="B901" s="861">
        <v>44812</v>
      </c>
      <c r="C901" s="583" t="s">
        <v>2349</v>
      </c>
      <c r="D901" s="583"/>
      <c r="E901" s="548" t="s">
        <v>1792</v>
      </c>
      <c r="F901" s="548" t="s">
        <v>1830</v>
      </c>
      <c r="G901" s="549" t="s">
        <v>1798</v>
      </c>
      <c r="H901" s="548" t="s">
        <v>1831</v>
      </c>
      <c r="I901" s="514" t="s">
        <v>4405</v>
      </c>
      <c r="J901" s="513" t="s">
        <v>4464</v>
      </c>
      <c r="K901" s="580">
        <v>66039.88</v>
      </c>
      <c r="L901" s="580">
        <v>53.015799999999999</v>
      </c>
      <c r="M901" s="552">
        <f t="shared" si="72"/>
        <v>1245.6641227709476</v>
      </c>
      <c r="N901" s="526">
        <v>60</v>
      </c>
      <c r="O901" s="563">
        <f t="shared" si="68"/>
        <v>1100.6646666666668</v>
      </c>
      <c r="P901" s="564">
        <f t="shared" ca="1" si="69"/>
        <v>35</v>
      </c>
      <c r="Q901" s="552">
        <f t="shared" ca="1" si="70"/>
        <v>27516.616666666669</v>
      </c>
      <c r="R901" s="563">
        <f t="shared" ca="1" si="71"/>
        <v>27516.616666666669</v>
      </c>
      <c r="S901" s="565" t="s">
        <v>1767</v>
      </c>
    </row>
    <row r="902" spans="2:19" s="323" customFormat="1" ht="65.099999999999994" customHeight="1" x14ac:dyDescent="0.25">
      <c r="B902" s="861">
        <v>44812</v>
      </c>
      <c r="C902" s="583" t="s">
        <v>2349</v>
      </c>
      <c r="D902" s="583"/>
      <c r="E902" s="548" t="s">
        <v>1792</v>
      </c>
      <c r="F902" s="548" t="s">
        <v>1832</v>
      </c>
      <c r="G902" s="549" t="s">
        <v>1798</v>
      </c>
      <c r="H902" s="548" t="s">
        <v>1833</v>
      </c>
      <c r="I902" s="514" t="s">
        <v>45</v>
      </c>
      <c r="J902" s="513" t="s">
        <v>4463</v>
      </c>
      <c r="K902" s="580">
        <v>66039.88</v>
      </c>
      <c r="L902" s="580">
        <v>53.015799999999999</v>
      </c>
      <c r="M902" s="552">
        <f t="shared" si="72"/>
        <v>1245.6641227709476</v>
      </c>
      <c r="N902" s="526">
        <v>60</v>
      </c>
      <c r="O902" s="563">
        <f t="shared" si="68"/>
        <v>1100.6646666666668</v>
      </c>
      <c r="P902" s="564">
        <f t="shared" ca="1" si="69"/>
        <v>35</v>
      </c>
      <c r="Q902" s="552">
        <f t="shared" ca="1" si="70"/>
        <v>27516.616666666669</v>
      </c>
      <c r="R902" s="563">
        <f t="shared" ca="1" si="71"/>
        <v>27516.616666666669</v>
      </c>
      <c r="S902" s="565" t="s">
        <v>1767</v>
      </c>
    </row>
    <row r="903" spans="2:19" ht="65.099999999999994" customHeight="1" x14ac:dyDescent="0.25">
      <c r="B903" s="861">
        <v>44841</v>
      </c>
      <c r="C903" s="583" t="s">
        <v>2349</v>
      </c>
      <c r="D903" s="583"/>
      <c r="E903" s="548" t="s">
        <v>1873</v>
      </c>
      <c r="F903" s="548" t="s">
        <v>1913</v>
      </c>
      <c r="G903" s="549" t="s">
        <v>1914</v>
      </c>
      <c r="H903" s="548" t="s">
        <v>1915</v>
      </c>
      <c r="I903" s="548" t="s">
        <v>1796</v>
      </c>
      <c r="J903" s="575" t="s">
        <v>1594</v>
      </c>
      <c r="K903" s="580">
        <v>21931.99</v>
      </c>
      <c r="L903" s="580">
        <v>53.642899999999997</v>
      </c>
      <c r="M903" s="552">
        <f t="shared" si="72"/>
        <v>408.85168400664401</v>
      </c>
      <c r="N903" s="526">
        <v>60</v>
      </c>
      <c r="O903" s="563">
        <f t="shared" si="68"/>
        <v>365.53316666666672</v>
      </c>
      <c r="P903" s="564">
        <f t="shared" ca="1" si="69"/>
        <v>34</v>
      </c>
      <c r="Q903" s="552">
        <f t="shared" ca="1" si="70"/>
        <v>9503.8623333333326</v>
      </c>
      <c r="R903" s="563">
        <f t="shared" ca="1" si="71"/>
        <v>9503.8623333333326</v>
      </c>
      <c r="S903" s="565" t="s">
        <v>1103</v>
      </c>
    </row>
    <row r="904" spans="2:19" ht="65.099999999999994" customHeight="1" x14ac:dyDescent="0.25">
      <c r="B904" s="861">
        <v>44841</v>
      </c>
      <c r="C904" s="583" t="s">
        <v>2349</v>
      </c>
      <c r="D904" s="583"/>
      <c r="E904" s="548" t="s">
        <v>1873</v>
      </c>
      <c r="F904" s="548" t="s">
        <v>1916</v>
      </c>
      <c r="G904" s="549" t="s">
        <v>1914</v>
      </c>
      <c r="H904" s="548" t="s">
        <v>1917</v>
      </c>
      <c r="I904" s="548" t="s">
        <v>1796</v>
      </c>
      <c r="J904" s="575" t="s">
        <v>1594</v>
      </c>
      <c r="K904" s="580">
        <v>21931.99</v>
      </c>
      <c r="L904" s="580">
        <v>53.642899999999997</v>
      </c>
      <c r="M904" s="552">
        <f t="shared" si="72"/>
        <v>408.85168400664401</v>
      </c>
      <c r="N904" s="526">
        <v>60</v>
      </c>
      <c r="O904" s="563">
        <f t="shared" ref="O904:O967" si="73">IF(AND(K904&lt;&gt;0,N904&lt;&gt;0),K904/N904,0)</f>
        <v>365.53316666666672</v>
      </c>
      <c r="P904" s="564">
        <f t="shared" ref="P904:P967" ca="1" si="74">IF(B904&lt;&gt;0,(ROUND((NOW()-B904)/30,0)),0)</f>
        <v>34</v>
      </c>
      <c r="Q904" s="552">
        <f t="shared" ref="Q904:Q959" ca="1" si="75">IF(OR(K904=0,N904=0,P904=0),0,K904-(O904*P904))</f>
        <v>9503.8623333333326</v>
      </c>
      <c r="R904" s="563">
        <f t="shared" ref="R904:R967" ca="1" si="76">IF(Q904&lt;1,1,Q904)</f>
        <v>9503.8623333333326</v>
      </c>
      <c r="S904" s="565" t="s">
        <v>1103</v>
      </c>
    </row>
    <row r="905" spans="2:19" ht="65.099999999999994" customHeight="1" x14ac:dyDescent="0.25">
      <c r="B905" s="861">
        <v>44841</v>
      </c>
      <c r="C905" s="583" t="s">
        <v>2349</v>
      </c>
      <c r="D905" s="583"/>
      <c r="E905" s="548" t="s">
        <v>1873</v>
      </c>
      <c r="F905" s="548" t="s">
        <v>1918</v>
      </c>
      <c r="G905" s="549" t="s">
        <v>1914</v>
      </c>
      <c r="H905" s="548" t="s">
        <v>1919</v>
      </c>
      <c r="I905" s="548" t="s">
        <v>1796</v>
      </c>
      <c r="J905" s="575" t="s">
        <v>1594</v>
      </c>
      <c r="K905" s="580">
        <v>21932</v>
      </c>
      <c r="L905" s="580">
        <v>53.642899999999997</v>
      </c>
      <c r="M905" s="552">
        <f t="shared" si="72"/>
        <v>408.85187042460421</v>
      </c>
      <c r="N905" s="526">
        <v>60</v>
      </c>
      <c r="O905" s="563">
        <f t="shared" si="73"/>
        <v>365.53333333333336</v>
      </c>
      <c r="P905" s="564">
        <f t="shared" ca="1" si="74"/>
        <v>34</v>
      </c>
      <c r="Q905" s="552">
        <f t="shared" ca="1" si="75"/>
        <v>9503.866666666665</v>
      </c>
      <c r="R905" s="563">
        <f t="shared" ca="1" si="76"/>
        <v>9503.866666666665</v>
      </c>
      <c r="S905" s="565" t="s">
        <v>1103</v>
      </c>
    </row>
    <row r="906" spans="2:19" ht="65.099999999999994" customHeight="1" x14ac:dyDescent="0.25">
      <c r="B906" s="861">
        <v>44841</v>
      </c>
      <c r="C906" s="583" t="s">
        <v>2349</v>
      </c>
      <c r="D906" s="583"/>
      <c r="E906" s="548" t="s">
        <v>1873</v>
      </c>
      <c r="F906" s="548" t="s">
        <v>1920</v>
      </c>
      <c r="G906" s="549" t="s">
        <v>1914</v>
      </c>
      <c r="H906" s="548" t="s">
        <v>1921</v>
      </c>
      <c r="I906" s="548" t="s">
        <v>1796</v>
      </c>
      <c r="J906" s="575" t="s">
        <v>1594</v>
      </c>
      <c r="K906" s="580">
        <v>21932</v>
      </c>
      <c r="L906" s="580">
        <v>53.642899999999997</v>
      </c>
      <c r="M906" s="552">
        <f t="shared" si="72"/>
        <v>408.85187042460421</v>
      </c>
      <c r="N906" s="526">
        <v>60</v>
      </c>
      <c r="O906" s="563">
        <f t="shared" si="73"/>
        <v>365.53333333333336</v>
      </c>
      <c r="P906" s="564">
        <f t="shared" ca="1" si="74"/>
        <v>34</v>
      </c>
      <c r="Q906" s="552">
        <f t="shared" ca="1" si="75"/>
        <v>9503.866666666665</v>
      </c>
      <c r="R906" s="563">
        <f t="shared" ca="1" si="76"/>
        <v>9503.866666666665</v>
      </c>
      <c r="S906" s="565" t="s">
        <v>1103</v>
      </c>
    </row>
    <row r="907" spans="2:19" ht="65.099999999999994" customHeight="1" x14ac:dyDescent="0.25">
      <c r="B907" s="861">
        <v>44841</v>
      </c>
      <c r="C907" s="583" t="s">
        <v>2349</v>
      </c>
      <c r="D907" s="583"/>
      <c r="E907" s="548" t="s">
        <v>1873</v>
      </c>
      <c r="F907" s="548" t="s">
        <v>1922</v>
      </c>
      <c r="G907" s="549" t="s">
        <v>1914</v>
      </c>
      <c r="H907" s="548" t="s">
        <v>1923</v>
      </c>
      <c r="I907" s="548" t="s">
        <v>1796</v>
      </c>
      <c r="J907" s="575" t="s">
        <v>1594</v>
      </c>
      <c r="K907" s="580">
        <v>21932</v>
      </c>
      <c r="L907" s="580">
        <v>53.642899999999997</v>
      </c>
      <c r="M907" s="552">
        <f t="shared" si="72"/>
        <v>408.85187042460421</v>
      </c>
      <c r="N907" s="526">
        <v>60</v>
      </c>
      <c r="O907" s="563">
        <f t="shared" si="73"/>
        <v>365.53333333333336</v>
      </c>
      <c r="P907" s="564">
        <f t="shared" ca="1" si="74"/>
        <v>34</v>
      </c>
      <c r="Q907" s="552">
        <f t="shared" ca="1" si="75"/>
        <v>9503.866666666665</v>
      </c>
      <c r="R907" s="563">
        <f t="shared" ca="1" si="76"/>
        <v>9503.866666666665</v>
      </c>
      <c r="S907" s="565" t="s">
        <v>1103</v>
      </c>
    </row>
    <row r="908" spans="2:19" ht="65.099999999999994" customHeight="1" x14ac:dyDescent="0.25">
      <c r="B908" s="861">
        <v>44841</v>
      </c>
      <c r="C908" s="583" t="s">
        <v>2349</v>
      </c>
      <c r="D908" s="583"/>
      <c r="E908" s="548" t="s">
        <v>1873</v>
      </c>
      <c r="F908" s="548" t="s">
        <v>1924</v>
      </c>
      <c r="G908" s="549" t="s">
        <v>1914</v>
      </c>
      <c r="H908" s="548" t="s">
        <v>1925</v>
      </c>
      <c r="I908" s="548" t="s">
        <v>1796</v>
      </c>
      <c r="J908" s="575" t="s">
        <v>1594</v>
      </c>
      <c r="K908" s="580">
        <v>21932</v>
      </c>
      <c r="L908" s="580">
        <v>53.642899999999997</v>
      </c>
      <c r="M908" s="552">
        <f t="shared" si="72"/>
        <v>408.85187042460421</v>
      </c>
      <c r="N908" s="526">
        <v>60</v>
      </c>
      <c r="O908" s="563">
        <f t="shared" si="73"/>
        <v>365.53333333333336</v>
      </c>
      <c r="P908" s="564">
        <f t="shared" ca="1" si="74"/>
        <v>34</v>
      </c>
      <c r="Q908" s="552">
        <f t="shared" ca="1" si="75"/>
        <v>9503.866666666665</v>
      </c>
      <c r="R908" s="563">
        <f t="shared" ca="1" si="76"/>
        <v>9503.866666666665</v>
      </c>
      <c r="S908" s="565" t="s">
        <v>1103</v>
      </c>
    </row>
    <row r="909" spans="2:19" ht="65.099999999999994" customHeight="1" x14ac:dyDescent="0.25">
      <c r="B909" s="861">
        <v>44841</v>
      </c>
      <c r="C909" s="583" t="s">
        <v>2349</v>
      </c>
      <c r="D909" s="583"/>
      <c r="E909" s="548" t="s">
        <v>1873</v>
      </c>
      <c r="F909" s="548" t="s">
        <v>1926</v>
      </c>
      <c r="G909" s="549" t="s">
        <v>1914</v>
      </c>
      <c r="H909" s="548" t="s">
        <v>1927</v>
      </c>
      <c r="I909" s="548" t="s">
        <v>1796</v>
      </c>
      <c r="J909" s="575" t="s">
        <v>1594</v>
      </c>
      <c r="K909" s="580">
        <v>21932</v>
      </c>
      <c r="L909" s="580">
        <v>53.642899999999997</v>
      </c>
      <c r="M909" s="552">
        <f t="shared" si="72"/>
        <v>408.85187042460421</v>
      </c>
      <c r="N909" s="526">
        <v>60</v>
      </c>
      <c r="O909" s="563">
        <f t="shared" si="73"/>
        <v>365.53333333333336</v>
      </c>
      <c r="P909" s="564">
        <f t="shared" ca="1" si="74"/>
        <v>34</v>
      </c>
      <c r="Q909" s="552">
        <f t="shared" ca="1" si="75"/>
        <v>9503.866666666665</v>
      </c>
      <c r="R909" s="563">
        <f t="shared" ca="1" si="76"/>
        <v>9503.866666666665</v>
      </c>
      <c r="S909" s="565" t="s">
        <v>1103</v>
      </c>
    </row>
    <row r="910" spans="2:19" ht="65.099999999999994" customHeight="1" x14ac:dyDescent="0.25">
      <c r="B910" s="861">
        <v>44841</v>
      </c>
      <c r="C910" s="583" t="s">
        <v>2349</v>
      </c>
      <c r="D910" s="583"/>
      <c r="E910" s="548" t="s">
        <v>1873</v>
      </c>
      <c r="F910" s="548" t="s">
        <v>1928</v>
      </c>
      <c r="G910" s="549" t="s">
        <v>1914</v>
      </c>
      <c r="H910" s="548" t="s">
        <v>1929</v>
      </c>
      <c r="I910" s="548" t="s">
        <v>1796</v>
      </c>
      <c r="J910" s="575" t="s">
        <v>1594</v>
      </c>
      <c r="K910" s="580">
        <v>21932</v>
      </c>
      <c r="L910" s="580">
        <v>53.642899999999997</v>
      </c>
      <c r="M910" s="552">
        <f t="shared" ref="M910:M973" si="77">+K910/L910</f>
        <v>408.85187042460421</v>
      </c>
      <c r="N910" s="526">
        <v>60</v>
      </c>
      <c r="O910" s="563">
        <f t="shared" si="73"/>
        <v>365.53333333333336</v>
      </c>
      <c r="P910" s="564">
        <f t="shared" ca="1" si="74"/>
        <v>34</v>
      </c>
      <c r="Q910" s="552">
        <f t="shared" ca="1" si="75"/>
        <v>9503.866666666665</v>
      </c>
      <c r="R910" s="563">
        <f t="shared" ca="1" si="76"/>
        <v>9503.866666666665</v>
      </c>
      <c r="S910" s="565" t="s">
        <v>1103</v>
      </c>
    </row>
    <row r="911" spans="2:19" ht="65.099999999999994" customHeight="1" x14ac:dyDescent="0.25">
      <c r="B911" s="861">
        <v>44841</v>
      </c>
      <c r="C911" s="583" t="s">
        <v>2349</v>
      </c>
      <c r="D911" s="583"/>
      <c r="E911" s="548" t="s">
        <v>1873</v>
      </c>
      <c r="F911" s="548" t="s">
        <v>1930</v>
      </c>
      <c r="G911" s="549" t="s">
        <v>1914</v>
      </c>
      <c r="H911" s="548" t="s">
        <v>1931</v>
      </c>
      <c r="I911" s="548" t="s">
        <v>1796</v>
      </c>
      <c r="J911" s="575" t="s">
        <v>1594</v>
      </c>
      <c r="K911" s="580">
        <v>21932</v>
      </c>
      <c r="L911" s="580">
        <v>53.642899999999997</v>
      </c>
      <c r="M911" s="552">
        <f t="shared" si="77"/>
        <v>408.85187042460421</v>
      </c>
      <c r="N911" s="526">
        <v>60</v>
      </c>
      <c r="O911" s="563">
        <f t="shared" si="73"/>
        <v>365.53333333333336</v>
      </c>
      <c r="P911" s="564">
        <f t="shared" ca="1" si="74"/>
        <v>34</v>
      </c>
      <c r="Q911" s="552">
        <f t="shared" ca="1" si="75"/>
        <v>9503.866666666665</v>
      </c>
      <c r="R911" s="563">
        <f t="shared" ca="1" si="76"/>
        <v>9503.866666666665</v>
      </c>
      <c r="S911" s="565" t="s">
        <v>1103</v>
      </c>
    </row>
    <row r="912" spans="2:19" ht="65.099999999999994" customHeight="1" x14ac:dyDescent="0.25">
      <c r="B912" s="861">
        <v>44841</v>
      </c>
      <c r="C912" s="583" t="s">
        <v>2349</v>
      </c>
      <c r="D912" s="583"/>
      <c r="E912" s="548" t="s">
        <v>1873</v>
      </c>
      <c r="F912" s="548" t="s">
        <v>1932</v>
      </c>
      <c r="G912" s="549" t="s">
        <v>1914</v>
      </c>
      <c r="H912" s="548" t="s">
        <v>1933</v>
      </c>
      <c r="I912" s="548" t="s">
        <v>1796</v>
      </c>
      <c r="J912" s="575" t="s">
        <v>1594</v>
      </c>
      <c r="K912" s="580">
        <v>21932</v>
      </c>
      <c r="L912" s="580">
        <v>53.642899999999997</v>
      </c>
      <c r="M912" s="552">
        <f t="shared" si="77"/>
        <v>408.85187042460421</v>
      </c>
      <c r="N912" s="526">
        <v>60</v>
      </c>
      <c r="O912" s="563">
        <f t="shared" si="73"/>
        <v>365.53333333333336</v>
      </c>
      <c r="P912" s="564">
        <f t="shared" ca="1" si="74"/>
        <v>34</v>
      </c>
      <c r="Q912" s="552">
        <f t="shared" ca="1" si="75"/>
        <v>9503.866666666665</v>
      </c>
      <c r="R912" s="563">
        <f t="shared" ca="1" si="76"/>
        <v>9503.866666666665</v>
      </c>
      <c r="S912" s="565" t="s">
        <v>1103</v>
      </c>
    </row>
    <row r="913" spans="1:19" ht="65.099999999999994" customHeight="1" x14ac:dyDescent="0.25">
      <c r="B913" s="861">
        <v>44841</v>
      </c>
      <c r="C913" s="583" t="s">
        <v>2349</v>
      </c>
      <c r="D913" s="583"/>
      <c r="E913" s="548" t="s">
        <v>1873</v>
      </c>
      <c r="F913" s="548" t="s">
        <v>1934</v>
      </c>
      <c r="G913" s="549" t="s">
        <v>1914</v>
      </c>
      <c r="H913" s="548" t="s">
        <v>1935</v>
      </c>
      <c r="I913" s="548" t="s">
        <v>1796</v>
      </c>
      <c r="J913" s="575" t="s">
        <v>1594</v>
      </c>
      <c r="K913" s="580">
        <v>21932</v>
      </c>
      <c r="L913" s="580">
        <v>53.642899999999997</v>
      </c>
      <c r="M913" s="552">
        <f t="shared" si="77"/>
        <v>408.85187042460421</v>
      </c>
      <c r="N913" s="526">
        <v>60</v>
      </c>
      <c r="O913" s="563">
        <f t="shared" si="73"/>
        <v>365.53333333333336</v>
      </c>
      <c r="P913" s="564">
        <f t="shared" ca="1" si="74"/>
        <v>34</v>
      </c>
      <c r="Q913" s="552">
        <f t="shared" ca="1" si="75"/>
        <v>9503.866666666665</v>
      </c>
      <c r="R913" s="563">
        <f t="shared" ca="1" si="76"/>
        <v>9503.866666666665</v>
      </c>
      <c r="S913" s="565" t="s">
        <v>1103</v>
      </c>
    </row>
    <row r="914" spans="1:19" ht="65.099999999999994" customHeight="1" x14ac:dyDescent="0.25">
      <c r="B914" s="861">
        <v>44841</v>
      </c>
      <c r="C914" s="583" t="s">
        <v>2349</v>
      </c>
      <c r="D914" s="583"/>
      <c r="E914" s="548" t="s">
        <v>1873</v>
      </c>
      <c r="F914" s="548" t="s">
        <v>1936</v>
      </c>
      <c r="G914" s="549" t="s">
        <v>1914</v>
      </c>
      <c r="H914" s="548" t="s">
        <v>1937</v>
      </c>
      <c r="I914" s="548" t="s">
        <v>1796</v>
      </c>
      <c r="J914" s="575" t="s">
        <v>1594</v>
      </c>
      <c r="K914" s="580">
        <v>21932</v>
      </c>
      <c r="L914" s="580">
        <v>53.642899999999997</v>
      </c>
      <c r="M914" s="552">
        <f t="shared" si="77"/>
        <v>408.85187042460421</v>
      </c>
      <c r="N914" s="526">
        <v>60</v>
      </c>
      <c r="O914" s="563">
        <f t="shared" si="73"/>
        <v>365.53333333333336</v>
      </c>
      <c r="P914" s="564">
        <f t="shared" ca="1" si="74"/>
        <v>34</v>
      </c>
      <c r="Q914" s="552">
        <f t="shared" ca="1" si="75"/>
        <v>9503.866666666665</v>
      </c>
      <c r="R914" s="563">
        <f t="shared" ca="1" si="76"/>
        <v>9503.866666666665</v>
      </c>
      <c r="S914" s="565" t="s">
        <v>1103</v>
      </c>
    </row>
    <row r="915" spans="1:19" ht="65.099999999999994" customHeight="1" x14ac:dyDescent="0.25">
      <c r="B915" s="861">
        <v>44841</v>
      </c>
      <c r="C915" s="583" t="s">
        <v>2349</v>
      </c>
      <c r="D915" s="583"/>
      <c r="E915" s="548" t="s">
        <v>1873</v>
      </c>
      <c r="F915" s="548" t="s">
        <v>1938</v>
      </c>
      <c r="G915" s="549" t="s">
        <v>1914</v>
      </c>
      <c r="H915" s="548" t="s">
        <v>1939</v>
      </c>
      <c r="I915" s="548" t="s">
        <v>1796</v>
      </c>
      <c r="J915" s="575" t="s">
        <v>1594</v>
      </c>
      <c r="K915" s="580">
        <v>21932</v>
      </c>
      <c r="L915" s="580">
        <v>53.642899999999997</v>
      </c>
      <c r="M915" s="552">
        <f t="shared" si="77"/>
        <v>408.85187042460421</v>
      </c>
      <c r="N915" s="526">
        <v>60</v>
      </c>
      <c r="O915" s="563">
        <f t="shared" si="73"/>
        <v>365.53333333333336</v>
      </c>
      <c r="P915" s="564">
        <f t="shared" ca="1" si="74"/>
        <v>34</v>
      </c>
      <c r="Q915" s="552">
        <f t="shared" ca="1" si="75"/>
        <v>9503.866666666665</v>
      </c>
      <c r="R915" s="563">
        <f t="shared" ca="1" si="76"/>
        <v>9503.866666666665</v>
      </c>
      <c r="S915" s="565" t="s">
        <v>1103</v>
      </c>
    </row>
    <row r="916" spans="1:19" ht="65.099999999999994" customHeight="1" x14ac:dyDescent="0.25">
      <c r="B916" s="861">
        <v>44841</v>
      </c>
      <c r="C916" s="583" t="s">
        <v>2349</v>
      </c>
      <c r="D916" s="583"/>
      <c r="E916" s="548" t="s">
        <v>1873</v>
      </c>
      <c r="F916" s="548" t="s">
        <v>1940</v>
      </c>
      <c r="G916" s="549" t="s">
        <v>1914</v>
      </c>
      <c r="H916" s="548" t="s">
        <v>1941</v>
      </c>
      <c r="I916" s="548" t="s">
        <v>1796</v>
      </c>
      <c r="J916" s="575" t="s">
        <v>1594</v>
      </c>
      <c r="K916" s="580">
        <v>21932</v>
      </c>
      <c r="L916" s="580">
        <v>53.642899999999997</v>
      </c>
      <c r="M916" s="552">
        <f t="shared" si="77"/>
        <v>408.85187042460421</v>
      </c>
      <c r="N916" s="526">
        <v>60</v>
      </c>
      <c r="O916" s="563">
        <f t="shared" si="73"/>
        <v>365.53333333333336</v>
      </c>
      <c r="P916" s="564">
        <f t="shared" ca="1" si="74"/>
        <v>34</v>
      </c>
      <c r="Q916" s="552">
        <f t="shared" ca="1" si="75"/>
        <v>9503.866666666665</v>
      </c>
      <c r="R916" s="563">
        <f t="shared" ca="1" si="76"/>
        <v>9503.866666666665</v>
      </c>
      <c r="S916" s="565" t="s">
        <v>1103</v>
      </c>
    </row>
    <row r="917" spans="1:19" ht="65.099999999999994" customHeight="1" x14ac:dyDescent="0.25">
      <c r="B917" s="861">
        <v>44841</v>
      </c>
      <c r="C917" s="583" t="s">
        <v>2349</v>
      </c>
      <c r="D917" s="583"/>
      <c r="E917" s="548" t="s">
        <v>1873</v>
      </c>
      <c r="F917" s="548" t="s">
        <v>1942</v>
      </c>
      <c r="G917" s="549" t="s">
        <v>1914</v>
      </c>
      <c r="H917" s="548" t="s">
        <v>1943</v>
      </c>
      <c r="I917" s="548" t="s">
        <v>1796</v>
      </c>
      <c r="J917" s="575" t="s">
        <v>1594</v>
      </c>
      <c r="K917" s="580">
        <v>21932</v>
      </c>
      <c r="L917" s="580">
        <v>53.642899999999997</v>
      </c>
      <c r="M917" s="552">
        <f t="shared" si="77"/>
        <v>408.85187042460421</v>
      </c>
      <c r="N917" s="526">
        <v>60</v>
      </c>
      <c r="O917" s="563">
        <f t="shared" si="73"/>
        <v>365.53333333333336</v>
      </c>
      <c r="P917" s="564">
        <f t="shared" ca="1" si="74"/>
        <v>34</v>
      </c>
      <c r="Q917" s="552">
        <f t="shared" ca="1" si="75"/>
        <v>9503.866666666665</v>
      </c>
      <c r="R917" s="563">
        <f t="shared" ca="1" si="76"/>
        <v>9503.866666666665</v>
      </c>
      <c r="S917" s="565" t="s">
        <v>1103</v>
      </c>
    </row>
    <row r="918" spans="1:19" ht="65.099999999999994" customHeight="1" x14ac:dyDescent="0.25">
      <c r="B918" s="861">
        <v>44841</v>
      </c>
      <c r="C918" s="583" t="s">
        <v>2349</v>
      </c>
      <c r="D918" s="583"/>
      <c r="E918" s="548" t="s">
        <v>1873</v>
      </c>
      <c r="F918" s="548" t="s">
        <v>1944</v>
      </c>
      <c r="G918" s="549" t="s">
        <v>1914</v>
      </c>
      <c r="H918" s="548" t="s">
        <v>1945</v>
      </c>
      <c r="I918" s="548" t="s">
        <v>1796</v>
      </c>
      <c r="J918" s="575" t="s">
        <v>1594</v>
      </c>
      <c r="K918" s="580">
        <v>21932</v>
      </c>
      <c r="L918" s="580">
        <v>53.642899999999997</v>
      </c>
      <c r="M918" s="552">
        <f t="shared" si="77"/>
        <v>408.85187042460421</v>
      </c>
      <c r="N918" s="526">
        <v>60</v>
      </c>
      <c r="O918" s="563">
        <f t="shared" si="73"/>
        <v>365.53333333333336</v>
      </c>
      <c r="P918" s="564">
        <f t="shared" ca="1" si="74"/>
        <v>34</v>
      </c>
      <c r="Q918" s="552">
        <f t="shared" ca="1" si="75"/>
        <v>9503.866666666665</v>
      </c>
      <c r="R918" s="563">
        <f t="shared" ca="1" si="76"/>
        <v>9503.866666666665</v>
      </c>
      <c r="S918" s="565" t="s">
        <v>1103</v>
      </c>
    </row>
    <row r="919" spans="1:19" ht="65.099999999999994" customHeight="1" x14ac:dyDescent="0.25">
      <c r="B919" s="861">
        <v>44841</v>
      </c>
      <c r="C919" s="583" t="s">
        <v>2349</v>
      </c>
      <c r="D919" s="583"/>
      <c r="E919" s="548" t="s">
        <v>1873</v>
      </c>
      <c r="F919" s="548" t="s">
        <v>1946</v>
      </c>
      <c r="G919" s="549" t="s">
        <v>1914</v>
      </c>
      <c r="H919" s="548" t="s">
        <v>1947</v>
      </c>
      <c r="I919" s="548" t="s">
        <v>1796</v>
      </c>
      <c r="J919" s="575" t="s">
        <v>1594</v>
      </c>
      <c r="K919" s="580">
        <v>21932</v>
      </c>
      <c r="L919" s="580">
        <v>53.642899999999997</v>
      </c>
      <c r="M919" s="552">
        <f t="shared" si="77"/>
        <v>408.85187042460421</v>
      </c>
      <c r="N919" s="526">
        <v>60</v>
      </c>
      <c r="O919" s="563">
        <f t="shared" si="73"/>
        <v>365.53333333333336</v>
      </c>
      <c r="P919" s="564">
        <f t="shared" ca="1" si="74"/>
        <v>34</v>
      </c>
      <c r="Q919" s="552">
        <f t="shared" ca="1" si="75"/>
        <v>9503.866666666665</v>
      </c>
      <c r="R919" s="563">
        <f t="shared" ca="1" si="76"/>
        <v>9503.866666666665</v>
      </c>
      <c r="S919" s="565" t="s">
        <v>1103</v>
      </c>
    </row>
    <row r="920" spans="1:19" ht="65.099999999999994" customHeight="1" x14ac:dyDescent="0.25">
      <c r="B920" s="861">
        <v>44841</v>
      </c>
      <c r="C920" s="583" t="s">
        <v>2349</v>
      </c>
      <c r="D920" s="583"/>
      <c r="E920" s="548" t="s">
        <v>1873</v>
      </c>
      <c r="F920" s="548" t="s">
        <v>1948</v>
      </c>
      <c r="G920" s="549" t="s">
        <v>1914</v>
      </c>
      <c r="H920" s="548" t="s">
        <v>1949</v>
      </c>
      <c r="I920" s="548" t="s">
        <v>1796</v>
      </c>
      <c r="J920" s="575" t="s">
        <v>1594</v>
      </c>
      <c r="K920" s="580">
        <v>21932</v>
      </c>
      <c r="L920" s="580">
        <v>53.642899999999997</v>
      </c>
      <c r="M920" s="552">
        <f t="shared" si="77"/>
        <v>408.85187042460421</v>
      </c>
      <c r="N920" s="526">
        <v>60</v>
      </c>
      <c r="O920" s="563">
        <f t="shared" si="73"/>
        <v>365.53333333333336</v>
      </c>
      <c r="P920" s="564">
        <f t="shared" ca="1" si="74"/>
        <v>34</v>
      </c>
      <c r="Q920" s="552">
        <f t="shared" ca="1" si="75"/>
        <v>9503.866666666665</v>
      </c>
      <c r="R920" s="563">
        <f t="shared" ca="1" si="76"/>
        <v>9503.866666666665</v>
      </c>
      <c r="S920" s="565" t="s">
        <v>1103</v>
      </c>
    </row>
    <row r="921" spans="1:19" ht="65.099999999999994" customHeight="1" x14ac:dyDescent="0.25">
      <c r="B921" s="861">
        <v>44841</v>
      </c>
      <c r="C921" s="583" t="s">
        <v>2349</v>
      </c>
      <c r="D921" s="583"/>
      <c r="E921" s="548" t="s">
        <v>1873</v>
      </c>
      <c r="F921" s="548" t="s">
        <v>1950</v>
      </c>
      <c r="G921" s="549" t="s">
        <v>1914</v>
      </c>
      <c r="H921" s="548" t="s">
        <v>1951</v>
      </c>
      <c r="I921" s="548" t="s">
        <v>1796</v>
      </c>
      <c r="J921" s="575" t="s">
        <v>1594</v>
      </c>
      <c r="K921" s="580">
        <v>21932</v>
      </c>
      <c r="L921" s="580">
        <v>53.642899999999997</v>
      </c>
      <c r="M921" s="552">
        <f t="shared" si="77"/>
        <v>408.85187042460421</v>
      </c>
      <c r="N921" s="526">
        <v>60</v>
      </c>
      <c r="O921" s="563">
        <f t="shared" si="73"/>
        <v>365.53333333333336</v>
      </c>
      <c r="P921" s="564">
        <f t="shared" ca="1" si="74"/>
        <v>34</v>
      </c>
      <c r="Q921" s="552">
        <f t="shared" ca="1" si="75"/>
        <v>9503.866666666665</v>
      </c>
      <c r="R921" s="563">
        <f t="shared" ca="1" si="76"/>
        <v>9503.866666666665</v>
      </c>
      <c r="S921" s="565" t="s">
        <v>1103</v>
      </c>
    </row>
    <row r="922" spans="1:19" ht="65.099999999999994" customHeight="1" x14ac:dyDescent="0.25">
      <c r="B922" s="861">
        <v>44841</v>
      </c>
      <c r="C922" s="583" t="s">
        <v>2349</v>
      </c>
      <c r="D922" s="583"/>
      <c r="E922" s="548" t="s">
        <v>1873</v>
      </c>
      <c r="F922" s="548" t="s">
        <v>1952</v>
      </c>
      <c r="G922" s="549" t="s">
        <v>1914</v>
      </c>
      <c r="H922" s="548" t="s">
        <v>1953</v>
      </c>
      <c r="I922" s="548" t="s">
        <v>1796</v>
      </c>
      <c r="J922" s="575" t="s">
        <v>1594</v>
      </c>
      <c r="K922" s="580">
        <v>21932</v>
      </c>
      <c r="L922" s="580">
        <v>53.642899999999997</v>
      </c>
      <c r="M922" s="552">
        <f t="shared" si="77"/>
        <v>408.85187042460421</v>
      </c>
      <c r="N922" s="526">
        <v>60</v>
      </c>
      <c r="O922" s="563">
        <f t="shared" si="73"/>
        <v>365.53333333333336</v>
      </c>
      <c r="P922" s="564">
        <f t="shared" ca="1" si="74"/>
        <v>34</v>
      </c>
      <c r="Q922" s="552">
        <f t="shared" ca="1" si="75"/>
        <v>9503.866666666665</v>
      </c>
      <c r="R922" s="563">
        <f t="shared" ca="1" si="76"/>
        <v>9503.866666666665</v>
      </c>
      <c r="S922" s="565" t="s">
        <v>1103</v>
      </c>
    </row>
    <row r="923" spans="1:19" ht="65.099999999999994" customHeight="1" x14ac:dyDescent="0.25">
      <c r="A923" s="323"/>
      <c r="B923" s="861">
        <v>44841</v>
      </c>
      <c r="C923" s="583" t="s">
        <v>2349</v>
      </c>
      <c r="D923" s="583"/>
      <c r="E923" s="548" t="s">
        <v>1873</v>
      </c>
      <c r="F923" s="548" t="s">
        <v>1874</v>
      </c>
      <c r="G923" s="549" t="s">
        <v>1875</v>
      </c>
      <c r="H923" s="548" t="s">
        <v>1876</v>
      </c>
      <c r="I923" s="513" t="s">
        <v>4229</v>
      </c>
      <c r="J923" s="575" t="s">
        <v>4227</v>
      </c>
      <c r="K923" s="580">
        <v>14075.63</v>
      </c>
      <c r="L923" s="580">
        <v>53.642899999999997</v>
      </c>
      <c r="M923" s="552">
        <f t="shared" si="77"/>
        <v>262.39502338613312</v>
      </c>
      <c r="N923" s="526">
        <v>60</v>
      </c>
      <c r="O923" s="563">
        <f t="shared" si="73"/>
        <v>234.59383333333332</v>
      </c>
      <c r="P923" s="564">
        <f t="shared" ca="1" si="74"/>
        <v>34</v>
      </c>
      <c r="Q923" s="552">
        <f t="shared" ca="1" si="75"/>
        <v>6099.4396666666662</v>
      </c>
      <c r="R923" s="563">
        <f t="shared" ca="1" si="76"/>
        <v>6099.4396666666662</v>
      </c>
      <c r="S923" s="565" t="s">
        <v>1103</v>
      </c>
    </row>
    <row r="924" spans="1:19" ht="65.099999999999994" customHeight="1" x14ac:dyDescent="0.25">
      <c r="A924" s="323"/>
      <c r="B924" s="861">
        <v>44841</v>
      </c>
      <c r="C924" s="583" t="s">
        <v>2349</v>
      </c>
      <c r="D924" s="583"/>
      <c r="E924" s="548" t="s">
        <v>1873</v>
      </c>
      <c r="F924" s="548" t="s">
        <v>1877</v>
      </c>
      <c r="G924" s="549" t="s">
        <v>1875</v>
      </c>
      <c r="H924" s="548" t="s">
        <v>1878</v>
      </c>
      <c r="I924" s="513" t="s">
        <v>4229</v>
      </c>
      <c r="J924" s="575" t="s">
        <v>4227</v>
      </c>
      <c r="K924" s="580">
        <v>14075.63</v>
      </c>
      <c r="L924" s="580">
        <v>53.642899999999997</v>
      </c>
      <c r="M924" s="552">
        <f t="shared" si="77"/>
        <v>262.39502338613312</v>
      </c>
      <c r="N924" s="526">
        <v>60</v>
      </c>
      <c r="O924" s="563">
        <f t="shared" si="73"/>
        <v>234.59383333333332</v>
      </c>
      <c r="P924" s="564">
        <f t="shared" ca="1" si="74"/>
        <v>34</v>
      </c>
      <c r="Q924" s="552">
        <f t="shared" ca="1" si="75"/>
        <v>6099.4396666666662</v>
      </c>
      <c r="R924" s="563">
        <f t="shared" ca="1" si="76"/>
        <v>6099.4396666666662</v>
      </c>
      <c r="S924" s="565" t="s">
        <v>1103</v>
      </c>
    </row>
    <row r="925" spans="1:19" ht="65.099999999999994" customHeight="1" x14ac:dyDescent="0.25">
      <c r="A925" s="323"/>
      <c r="B925" s="861">
        <v>44841</v>
      </c>
      <c r="C925" s="583" t="s">
        <v>2349</v>
      </c>
      <c r="D925" s="583"/>
      <c r="E925" s="548" t="s">
        <v>1873</v>
      </c>
      <c r="F925" s="548" t="s">
        <v>1879</v>
      </c>
      <c r="G925" s="549" t="s">
        <v>1875</v>
      </c>
      <c r="H925" s="548" t="s">
        <v>1880</v>
      </c>
      <c r="I925" s="513" t="s">
        <v>4229</v>
      </c>
      <c r="J925" s="575" t="s">
        <v>4227</v>
      </c>
      <c r="K925" s="580">
        <v>14075.63</v>
      </c>
      <c r="L925" s="580">
        <v>53.642899999999997</v>
      </c>
      <c r="M925" s="552">
        <f t="shared" si="77"/>
        <v>262.39502338613312</v>
      </c>
      <c r="N925" s="526">
        <v>60</v>
      </c>
      <c r="O925" s="563">
        <f t="shared" si="73"/>
        <v>234.59383333333332</v>
      </c>
      <c r="P925" s="564">
        <f t="shared" ca="1" si="74"/>
        <v>34</v>
      </c>
      <c r="Q925" s="552">
        <f t="shared" ca="1" si="75"/>
        <v>6099.4396666666662</v>
      </c>
      <c r="R925" s="563">
        <f t="shared" ca="1" si="76"/>
        <v>6099.4396666666662</v>
      </c>
      <c r="S925" s="565" t="s">
        <v>1103</v>
      </c>
    </row>
    <row r="926" spans="1:19" ht="65.099999999999994" customHeight="1" x14ac:dyDescent="0.25">
      <c r="A926" s="323"/>
      <c r="B926" s="861">
        <v>44841</v>
      </c>
      <c r="C926" s="583" t="s">
        <v>2349</v>
      </c>
      <c r="D926" s="583"/>
      <c r="E926" s="548" t="s">
        <v>1873</v>
      </c>
      <c r="F926" s="548" t="s">
        <v>1881</v>
      </c>
      <c r="G926" s="549" t="s">
        <v>1875</v>
      </c>
      <c r="H926" s="548" t="s">
        <v>1882</v>
      </c>
      <c r="I926" s="513" t="s">
        <v>4229</v>
      </c>
      <c r="J926" s="575" t="s">
        <v>4227</v>
      </c>
      <c r="K926" s="580">
        <v>14075.63</v>
      </c>
      <c r="L926" s="580">
        <v>53.642899999999997</v>
      </c>
      <c r="M926" s="552">
        <f t="shared" si="77"/>
        <v>262.39502338613312</v>
      </c>
      <c r="N926" s="526">
        <v>60</v>
      </c>
      <c r="O926" s="563">
        <f t="shared" si="73"/>
        <v>234.59383333333332</v>
      </c>
      <c r="P926" s="564">
        <f t="shared" ca="1" si="74"/>
        <v>34</v>
      </c>
      <c r="Q926" s="552">
        <f t="shared" ca="1" si="75"/>
        <v>6099.4396666666662</v>
      </c>
      <c r="R926" s="563">
        <f t="shared" ca="1" si="76"/>
        <v>6099.4396666666662</v>
      </c>
      <c r="S926" s="565" t="s">
        <v>1103</v>
      </c>
    </row>
    <row r="927" spans="1:19" ht="65.099999999999994" customHeight="1" x14ac:dyDescent="0.25">
      <c r="A927" s="323"/>
      <c r="B927" s="861">
        <v>44841</v>
      </c>
      <c r="C927" s="583" t="s">
        <v>2349</v>
      </c>
      <c r="D927" s="583"/>
      <c r="E927" s="548" t="s">
        <v>1873</v>
      </c>
      <c r="F927" s="548" t="s">
        <v>1883</v>
      </c>
      <c r="G927" s="549" t="s">
        <v>1875</v>
      </c>
      <c r="H927" s="548" t="s">
        <v>1884</v>
      </c>
      <c r="I927" s="513" t="s">
        <v>4229</v>
      </c>
      <c r="J927" s="575" t="s">
        <v>4227</v>
      </c>
      <c r="K927" s="580">
        <v>14075.63</v>
      </c>
      <c r="L927" s="580">
        <v>53.642899999999997</v>
      </c>
      <c r="M927" s="552">
        <f t="shared" si="77"/>
        <v>262.39502338613312</v>
      </c>
      <c r="N927" s="526">
        <v>60</v>
      </c>
      <c r="O927" s="563">
        <f t="shared" si="73"/>
        <v>234.59383333333332</v>
      </c>
      <c r="P927" s="564">
        <f t="shared" ca="1" si="74"/>
        <v>34</v>
      </c>
      <c r="Q927" s="552">
        <f t="shared" ca="1" si="75"/>
        <v>6099.4396666666662</v>
      </c>
      <c r="R927" s="563">
        <f t="shared" ca="1" si="76"/>
        <v>6099.4396666666662</v>
      </c>
      <c r="S927" s="565" t="s">
        <v>1103</v>
      </c>
    </row>
    <row r="928" spans="1:19" ht="65.099999999999994" customHeight="1" x14ac:dyDescent="0.25">
      <c r="A928" s="323"/>
      <c r="B928" s="861">
        <v>44841</v>
      </c>
      <c r="C928" s="583" t="s">
        <v>2349</v>
      </c>
      <c r="D928" s="583"/>
      <c r="E928" s="548" t="s">
        <v>1873</v>
      </c>
      <c r="F928" s="548" t="s">
        <v>1885</v>
      </c>
      <c r="G928" s="549" t="s">
        <v>1875</v>
      </c>
      <c r="H928" s="548" t="s">
        <v>1886</v>
      </c>
      <c r="I928" s="513" t="s">
        <v>4229</v>
      </c>
      <c r="J928" s="575" t="s">
        <v>4227</v>
      </c>
      <c r="K928" s="580">
        <v>14075.63</v>
      </c>
      <c r="L928" s="580">
        <v>53.642899999999997</v>
      </c>
      <c r="M928" s="552">
        <f t="shared" si="77"/>
        <v>262.39502338613312</v>
      </c>
      <c r="N928" s="526">
        <v>60</v>
      </c>
      <c r="O928" s="563">
        <f t="shared" si="73"/>
        <v>234.59383333333332</v>
      </c>
      <c r="P928" s="564">
        <f t="shared" ca="1" si="74"/>
        <v>34</v>
      </c>
      <c r="Q928" s="552">
        <f t="shared" ca="1" si="75"/>
        <v>6099.4396666666662</v>
      </c>
      <c r="R928" s="563">
        <f t="shared" ca="1" si="76"/>
        <v>6099.4396666666662</v>
      </c>
      <c r="S928" s="565" t="s">
        <v>1103</v>
      </c>
    </row>
    <row r="929" spans="1:19" ht="65.099999999999994" customHeight="1" x14ac:dyDescent="0.25">
      <c r="A929" s="323"/>
      <c r="B929" s="861">
        <v>44841</v>
      </c>
      <c r="C929" s="583" t="s">
        <v>2349</v>
      </c>
      <c r="D929" s="583"/>
      <c r="E929" s="548" t="s">
        <v>1873</v>
      </c>
      <c r="F929" s="548" t="s">
        <v>1887</v>
      </c>
      <c r="G929" s="549" t="s">
        <v>1875</v>
      </c>
      <c r="H929" s="548" t="s">
        <v>1888</v>
      </c>
      <c r="I929" s="513" t="s">
        <v>4229</v>
      </c>
      <c r="J929" s="575" t="s">
        <v>4227</v>
      </c>
      <c r="K929" s="580">
        <v>14075.63</v>
      </c>
      <c r="L929" s="580">
        <v>53.642899999999997</v>
      </c>
      <c r="M929" s="552">
        <f t="shared" si="77"/>
        <v>262.39502338613312</v>
      </c>
      <c r="N929" s="526">
        <v>60</v>
      </c>
      <c r="O929" s="563">
        <f t="shared" si="73"/>
        <v>234.59383333333332</v>
      </c>
      <c r="P929" s="564">
        <f t="shared" ca="1" si="74"/>
        <v>34</v>
      </c>
      <c r="Q929" s="552">
        <f t="shared" ca="1" si="75"/>
        <v>6099.4396666666662</v>
      </c>
      <c r="R929" s="563">
        <f t="shared" ca="1" si="76"/>
        <v>6099.4396666666662</v>
      </c>
      <c r="S929" s="565" t="s">
        <v>1103</v>
      </c>
    </row>
    <row r="930" spans="1:19" ht="65.099999999999994" customHeight="1" x14ac:dyDescent="0.25">
      <c r="A930" s="323"/>
      <c r="B930" s="861">
        <v>44841</v>
      </c>
      <c r="C930" s="583" t="s">
        <v>2349</v>
      </c>
      <c r="D930" s="583"/>
      <c r="E930" s="548" t="s">
        <v>1873</v>
      </c>
      <c r="F930" s="548" t="s">
        <v>1889</v>
      </c>
      <c r="G930" s="549" t="s">
        <v>1875</v>
      </c>
      <c r="H930" s="548" t="s">
        <v>1890</v>
      </c>
      <c r="I930" s="513" t="s">
        <v>4229</v>
      </c>
      <c r="J930" s="575" t="s">
        <v>4227</v>
      </c>
      <c r="K930" s="580">
        <v>14075.63</v>
      </c>
      <c r="L930" s="580">
        <v>53.642899999999997</v>
      </c>
      <c r="M930" s="552">
        <f t="shared" si="77"/>
        <v>262.39502338613312</v>
      </c>
      <c r="N930" s="526">
        <v>60</v>
      </c>
      <c r="O930" s="563">
        <f t="shared" si="73"/>
        <v>234.59383333333332</v>
      </c>
      <c r="P930" s="564">
        <f t="shared" ca="1" si="74"/>
        <v>34</v>
      </c>
      <c r="Q930" s="552">
        <f t="shared" ca="1" si="75"/>
        <v>6099.4396666666662</v>
      </c>
      <c r="R930" s="563">
        <f t="shared" ca="1" si="76"/>
        <v>6099.4396666666662</v>
      </c>
      <c r="S930" s="565" t="s">
        <v>1103</v>
      </c>
    </row>
    <row r="931" spans="1:19" ht="65.099999999999994" customHeight="1" x14ac:dyDescent="0.25">
      <c r="A931" s="323"/>
      <c r="B931" s="861">
        <v>44841</v>
      </c>
      <c r="C931" s="583" t="s">
        <v>2349</v>
      </c>
      <c r="D931" s="583"/>
      <c r="E931" s="548" t="s">
        <v>1873</v>
      </c>
      <c r="F931" s="548" t="s">
        <v>1891</v>
      </c>
      <c r="G931" s="549" t="s">
        <v>1875</v>
      </c>
      <c r="H931" s="548" t="s">
        <v>1892</v>
      </c>
      <c r="I931" s="513" t="s">
        <v>4229</v>
      </c>
      <c r="J931" s="575" t="s">
        <v>4227</v>
      </c>
      <c r="K931" s="580">
        <v>14075.63</v>
      </c>
      <c r="L931" s="580">
        <v>53.642899999999997</v>
      </c>
      <c r="M931" s="552">
        <f t="shared" si="77"/>
        <v>262.39502338613312</v>
      </c>
      <c r="N931" s="526">
        <v>60</v>
      </c>
      <c r="O931" s="563">
        <f t="shared" si="73"/>
        <v>234.59383333333332</v>
      </c>
      <c r="P931" s="564">
        <f t="shared" ca="1" si="74"/>
        <v>34</v>
      </c>
      <c r="Q931" s="552">
        <f t="shared" ca="1" si="75"/>
        <v>6099.4396666666662</v>
      </c>
      <c r="R931" s="563">
        <f t="shared" ca="1" si="76"/>
        <v>6099.4396666666662</v>
      </c>
      <c r="S931" s="565" t="s">
        <v>1103</v>
      </c>
    </row>
    <row r="932" spans="1:19" ht="65.099999999999994" customHeight="1" x14ac:dyDescent="0.25">
      <c r="A932" s="323"/>
      <c r="B932" s="861">
        <v>44841</v>
      </c>
      <c r="C932" s="583" t="s">
        <v>2349</v>
      </c>
      <c r="D932" s="583"/>
      <c r="E932" s="548" t="s">
        <v>1873</v>
      </c>
      <c r="F932" s="548" t="s">
        <v>1893</v>
      </c>
      <c r="G932" s="549" t="s">
        <v>1875</v>
      </c>
      <c r="H932" s="548" t="s">
        <v>1894</v>
      </c>
      <c r="I932" s="513" t="s">
        <v>4229</v>
      </c>
      <c r="J932" s="575" t="s">
        <v>4227</v>
      </c>
      <c r="K932" s="580">
        <v>14075.63</v>
      </c>
      <c r="L932" s="580">
        <v>53.642899999999997</v>
      </c>
      <c r="M932" s="552">
        <f t="shared" si="77"/>
        <v>262.39502338613312</v>
      </c>
      <c r="N932" s="526">
        <v>60</v>
      </c>
      <c r="O932" s="563">
        <f t="shared" si="73"/>
        <v>234.59383333333332</v>
      </c>
      <c r="P932" s="564">
        <f t="shared" ca="1" si="74"/>
        <v>34</v>
      </c>
      <c r="Q932" s="552">
        <f t="shared" ca="1" si="75"/>
        <v>6099.4396666666662</v>
      </c>
      <c r="R932" s="563">
        <f t="shared" ca="1" si="76"/>
        <v>6099.4396666666662</v>
      </c>
      <c r="S932" s="565" t="s">
        <v>1103</v>
      </c>
    </row>
    <row r="933" spans="1:19" ht="65.099999999999994" customHeight="1" x14ac:dyDescent="0.25">
      <c r="A933" s="323"/>
      <c r="B933" s="861">
        <v>44841</v>
      </c>
      <c r="C933" s="583" t="s">
        <v>2349</v>
      </c>
      <c r="D933" s="583"/>
      <c r="E933" s="548" t="s">
        <v>1873</v>
      </c>
      <c r="F933" s="548" t="s">
        <v>1895</v>
      </c>
      <c r="G933" s="549" t="s">
        <v>1875</v>
      </c>
      <c r="H933" s="548" t="s">
        <v>1896</v>
      </c>
      <c r="I933" s="513" t="s">
        <v>4229</v>
      </c>
      <c r="J933" s="575" t="s">
        <v>4227</v>
      </c>
      <c r="K933" s="580">
        <v>14075.63</v>
      </c>
      <c r="L933" s="580">
        <v>53.642899999999997</v>
      </c>
      <c r="M933" s="552">
        <f t="shared" si="77"/>
        <v>262.39502338613312</v>
      </c>
      <c r="N933" s="526">
        <v>60</v>
      </c>
      <c r="O933" s="563">
        <f t="shared" si="73"/>
        <v>234.59383333333332</v>
      </c>
      <c r="P933" s="564">
        <f t="shared" ca="1" si="74"/>
        <v>34</v>
      </c>
      <c r="Q933" s="552">
        <f t="shared" ca="1" si="75"/>
        <v>6099.4396666666662</v>
      </c>
      <c r="R933" s="563">
        <f t="shared" ca="1" si="76"/>
        <v>6099.4396666666662</v>
      </c>
      <c r="S933" s="565" t="s">
        <v>1103</v>
      </c>
    </row>
    <row r="934" spans="1:19" ht="65.099999999999994" customHeight="1" x14ac:dyDescent="0.25">
      <c r="A934" s="323"/>
      <c r="B934" s="861">
        <v>44841</v>
      </c>
      <c r="C934" s="583" t="s">
        <v>2349</v>
      </c>
      <c r="D934" s="583"/>
      <c r="E934" s="548" t="s">
        <v>1873</v>
      </c>
      <c r="F934" s="548" t="s">
        <v>1897</v>
      </c>
      <c r="G934" s="549" t="s">
        <v>1875</v>
      </c>
      <c r="H934" s="548" t="s">
        <v>1898</v>
      </c>
      <c r="I934" s="513" t="s">
        <v>4229</v>
      </c>
      <c r="J934" s="575" t="s">
        <v>4227</v>
      </c>
      <c r="K934" s="580">
        <v>14075.63</v>
      </c>
      <c r="L934" s="580">
        <v>53.642899999999997</v>
      </c>
      <c r="M934" s="552">
        <f t="shared" si="77"/>
        <v>262.39502338613312</v>
      </c>
      <c r="N934" s="526">
        <v>60</v>
      </c>
      <c r="O934" s="563">
        <f t="shared" si="73"/>
        <v>234.59383333333332</v>
      </c>
      <c r="P934" s="564">
        <f t="shared" ca="1" si="74"/>
        <v>34</v>
      </c>
      <c r="Q934" s="552">
        <f t="shared" ca="1" si="75"/>
        <v>6099.4396666666662</v>
      </c>
      <c r="R934" s="563">
        <f t="shared" ca="1" si="76"/>
        <v>6099.4396666666662</v>
      </c>
      <c r="S934" s="565" t="s">
        <v>1103</v>
      </c>
    </row>
    <row r="935" spans="1:19" ht="65.099999999999994" customHeight="1" x14ac:dyDescent="0.25">
      <c r="A935" s="323"/>
      <c r="B935" s="861">
        <v>44841</v>
      </c>
      <c r="C935" s="583" t="s">
        <v>2349</v>
      </c>
      <c r="D935" s="583"/>
      <c r="E935" s="548" t="s">
        <v>1873</v>
      </c>
      <c r="F935" s="548" t="s">
        <v>1899</v>
      </c>
      <c r="G935" s="549" t="s">
        <v>1875</v>
      </c>
      <c r="H935" s="548" t="s">
        <v>1900</v>
      </c>
      <c r="I935" s="513" t="s">
        <v>4229</v>
      </c>
      <c r="J935" s="575" t="s">
        <v>4227</v>
      </c>
      <c r="K935" s="580">
        <v>14075.63</v>
      </c>
      <c r="L935" s="580">
        <v>53.642899999999997</v>
      </c>
      <c r="M935" s="552">
        <f t="shared" si="77"/>
        <v>262.39502338613312</v>
      </c>
      <c r="N935" s="526">
        <v>60</v>
      </c>
      <c r="O935" s="563">
        <f t="shared" si="73"/>
        <v>234.59383333333332</v>
      </c>
      <c r="P935" s="564">
        <f t="shared" ca="1" si="74"/>
        <v>34</v>
      </c>
      <c r="Q935" s="552">
        <f t="shared" ca="1" si="75"/>
        <v>6099.4396666666662</v>
      </c>
      <c r="R935" s="563">
        <f t="shared" ca="1" si="76"/>
        <v>6099.4396666666662</v>
      </c>
      <c r="S935" s="565" t="s">
        <v>1103</v>
      </c>
    </row>
    <row r="936" spans="1:19" ht="65.099999999999994" customHeight="1" x14ac:dyDescent="0.25">
      <c r="A936" s="323"/>
      <c r="B936" s="861">
        <v>44841</v>
      </c>
      <c r="C936" s="583" t="s">
        <v>2349</v>
      </c>
      <c r="D936" s="583"/>
      <c r="E936" s="548" t="s">
        <v>1873</v>
      </c>
      <c r="F936" s="548" t="s">
        <v>1901</v>
      </c>
      <c r="G936" s="549" t="s">
        <v>1875</v>
      </c>
      <c r="H936" s="548" t="s">
        <v>1902</v>
      </c>
      <c r="I936" s="513" t="s">
        <v>4229</v>
      </c>
      <c r="J936" s="575" t="s">
        <v>4227</v>
      </c>
      <c r="K936" s="580">
        <v>14075.63</v>
      </c>
      <c r="L936" s="580">
        <v>53.642899999999997</v>
      </c>
      <c r="M936" s="552">
        <f t="shared" si="77"/>
        <v>262.39502338613312</v>
      </c>
      <c r="N936" s="526">
        <v>60</v>
      </c>
      <c r="O936" s="563">
        <f t="shared" si="73"/>
        <v>234.59383333333332</v>
      </c>
      <c r="P936" s="564">
        <f t="shared" ca="1" si="74"/>
        <v>34</v>
      </c>
      <c r="Q936" s="552">
        <f t="shared" ca="1" si="75"/>
        <v>6099.4396666666662</v>
      </c>
      <c r="R936" s="563">
        <f t="shared" ca="1" si="76"/>
        <v>6099.4396666666662</v>
      </c>
      <c r="S936" s="565" t="s">
        <v>1103</v>
      </c>
    </row>
    <row r="937" spans="1:19" ht="65.099999999999994" customHeight="1" x14ac:dyDescent="0.25">
      <c r="A937" s="323"/>
      <c r="B937" s="861">
        <v>44841</v>
      </c>
      <c r="C937" s="583" t="s">
        <v>2349</v>
      </c>
      <c r="D937" s="583"/>
      <c r="E937" s="548" t="s">
        <v>1873</v>
      </c>
      <c r="F937" s="548" t="s">
        <v>1903</v>
      </c>
      <c r="G937" s="549" t="s">
        <v>1875</v>
      </c>
      <c r="H937" s="548" t="s">
        <v>1904</v>
      </c>
      <c r="I937" s="513" t="s">
        <v>4229</v>
      </c>
      <c r="J937" s="575" t="s">
        <v>4227</v>
      </c>
      <c r="K937" s="580">
        <v>14075.63</v>
      </c>
      <c r="L937" s="580">
        <v>53.642899999999997</v>
      </c>
      <c r="M937" s="552">
        <f t="shared" si="77"/>
        <v>262.39502338613312</v>
      </c>
      <c r="N937" s="526">
        <v>60</v>
      </c>
      <c r="O937" s="563">
        <f t="shared" si="73"/>
        <v>234.59383333333332</v>
      </c>
      <c r="P937" s="564">
        <f t="shared" ca="1" si="74"/>
        <v>34</v>
      </c>
      <c r="Q937" s="552">
        <f t="shared" ca="1" si="75"/>
        <v>6099.4396666666662</v>
      </c>
      <c r="R937" s="563">
        <f t="shared" ca="1" si="76"/>
        <v>6099.4396666666662</v>
      </c>
      <c r="S937" s="565" t="s">
        <v>1103</v>
      </c>
    </row>
    <row r="938" spans="1:19" ht="65.099999999999994" customHeight="1" x14ac:dyDescent="0.25">
      <c r="A938" s="323"/>
      <c r="B938" s="861">
        <v>44841</v>
      </c>
      <c r="C938" s="583" t="s">
        <v>2349</v>
      </c>
      <c r="D938" s="583"/>
      <c r="E938" s="548" t="s">
        <v>1873</v>
      </c>
      <c r="F938" s="548" t="s">
        <v>1905</v>
      </c>
      <c r="G938" s="549" t="s">
        <v>1875</v>
      </c>
      <c r="H938" s="548" t="s">
        <v>1906</v>
      </c>
      <c r="I938" s="513" t="s">
        <v>4229</v>
      </c>
      <c r="J938" s="575" t="s">
        <v>4227</v>
      </c>
      <c r="K938" s="580">
        <v>14075.63</v>
      </c>
      <c r="L938" s="580">
        <v>53.642899999999997</v>
      </c>
      <c r="M938" s="552">
        <f t="shared" si="77"/>
        <v>262.39502338613312</v>
      </c>
      <c r="N938" s="526">
        <v>60</v>
      </c>
      <c r="O938" s="563">
        <f t="shared" si="73"/>
        <v>234.59383333333332</v>
      </c>
      <c r="P938" s="564">
        <f t="shared" ca="1" si="74"/>
        <v>34</v>
      </c>
      <c r="Q938" s="552">
        <f t="shared" ca="1" si="75"/>
        <v>6099.4396666666662</v>
      </c>
      <c r="R938" s="563">
        <f t="shared" ca="1" si="76"/>
        <v>6099.4396666666662</v>
      </c>
      <c r="S938" s="565" t="s">
        <v>1103</v>
      </c>
    </row>
    <row r="939" spans="1:19" ht="65.099999999999994" customHeight="1" x14ac:dyDescent="0.25">
      <c r="A939" s="323"/>
      <c r="B939" s="861">
        <v>44841</v>
      </c>
      <c r="C939" s="583" t="s">
        <v>2349</v>
      </c>
      <c r="D939" s="583"/>
      <c r="E939" s="548" t="s">
        <v>1873</v>
      </c>
      <c r="F939" s="548" t="s">
        <v>1907</v>
      </c>
      <c r="G939" s="549" t="s">
        <v>1875</v>
      </c>
      <c r="H939" s="548" t="s">
        <v>1908</v>
      </c>
      <c r="I939" s="513" t="s">
        <v>4229</v>
      </c>
      <c r="J939" s="575" t="s">
        <v>4227</v>
      </c>
      <c r="K939" s="580">
        <v>14075.63</v>
      </c>
      <c r="L939" s="580">
        <v>53.642899999999997</v>
      </c>
      <c r="M939" s="552">
        <f t="shared" si="77"/>
        <v>262.39502338613312</v>
      </c>
      <c r="N939" s="526">
        <v>60</v>
      </c>
      <c r="O939" s="563">
        <f t="shared" si="73"/>
        <v>234.59383333333332</v>
      </c>
      <c r="P939" s="564">
        <f t="shared" ca="1" si="74"/>
        <v>34</v>
      </c>
      <c r="Q939" s="552">
        <f t="shared" ca="1" si="75"/>
        <v>6099.4396666666662</v>
      </c>
      <c r="R939" s="563">
        <f t="shared" ca="1" si="76"/>
        <v>6099.4396666666662</v>
      </c>
      <c r="S939" s="565" t="s">
        <v>1103</v>
      </c>
    </row>
    <row r="940" spans="1:19" ht="65.099999999999994" customHeight="1" x14ac:dyDescent="0.25">
      <c r="A940" s="323"/>
      <c r="B940" s="861">
        <v>44841</v>
      </c>
      <c r="C940" s="583" t="s">
        <v>2349</v>
      </c>
      <c r="D940" s="583"/>
      <c r="E940" s="548" t="s">
        <v>1873</v>
      </c>
      <c r="F940" s="548" t="s">
        <v>1909</v>
      </c>
      <c r="G940" s="549" t="s">
        <v>1875</v>
      </c>
      <c r="H940" s="548" t="s">
        <v>1910</v>
      </c>
      <c r="I940" s="513" t="s">
        <v>4229</v>
      </c>
      <c r="J940" s="575" t="s">
        <v>4227</v>
      </c>
      <c r="K940" s="580">
        <v>14075.63</v>
      </c>
      <c r="L940" s="580">
        <v>53.642899999999997</v>
      </c>
      <c r="M940" s="552">
        <f t="shared" si="77"/>
        <v>262.39502338613312</v>
      </c>
      <c r="N940" s="526">
        <v>60</v>
      </c>
      <c r="O940" s="563">
        <f t="shared" si="73"/>
        <v>234.59383333333332</v>
      </c>
      <c r="P940" s="564">
        <f t="shared" ca="1" si="74"/>
        <v>34</v>
      </c>
      <c r="Q940" s="552">
        <f t="shared" ca="1" si="75"/>
        <v>6099.4396666666662</v>
      </c>
      <c r="R940" s="563">
        <f t="shared" ca="1" si="76"/>
        <v>6099.4396666666662</v>
      </c>
      <c r="S940" s="565" t="s">
        <v>1103</v>
      </c>
    </row>
    <row r="941" spans="1:19" ht="65.099999999999994" customHeight="1" x14ac:dyDescent="0.25">
      <c r="A941" s="323"/>
      <c r="B941" s="861">
        <v>44841</v>
      </c>
      <c r="C941" s="583" t="s">
        <v>2349</v>
      </c>
      <c r="D941" s="583"/>
      <c r="E941" s="548" t="s">
        <v>1873</v>
      </c>
      <c r="F941" s="548" t="s">
        <v>1911</v>
      </c>
      <c r="G941" s="549" t="s">
        <v>1875</v>
      </c>
      <c r="H941" s="548" t="s">
        <v>1912</v>
      </c>
      <c r="I941" s="513" t="s">
        <v>4229</v>
      </c>
      <c r="J941" s="575" t="s">
        <v>4227</v>
      </c>
      <c r="K941" s="580">
        <v>14075.63</v>
      </c>
      <c r="L941" s="580">
        <v>53.642899999999997</v>
      </c>
      <c r="M941" s="552">
        <f t="shared" si="77"/>
        <v>262.39502338613312</v>
      </c>
      <c r="N941" s="526">
        <v>60</v>
      </c>
      <c r="O941" s="563">
        <f t="shared" si="73"/>
        <v>234.59383333333332</v>
      </c>
      <c r="P941" s="564">
        <f t="shared" ca="1" si="74"/>
        <v>34</v>
      </c>
      <c r="Q941" s="552">
        <f t="shared" ca="1" si="75"/>
        <v>6099.4396666666662</v>
      </c>
      <c r="R941" s="563">
        <f t="shared" ca="1" si="76"/>
        <v>6099.4396666666662</v>
      </c>
      <c r="S941" s="565" t="s">
        <v>1103</v>
      </c>
    </row>
    <row r="942" spans="1:19" ht="60" customHeight="1" x14ac:dyDescent="0.25">
      <c r="B942" s="861">
        <v>44844</v>
      </c>
      <c r="C942" s="583" t="s">
        <v>2349</v>
      </c>
      <c r="D942" s="583"/>
      <c r="E942" s="548" t="s">
        <v>1954</v>
      </c>
      <c r="F942" s="548" t="s">
        <v>1955</v>
      </c>
      <c r="G942" s="549" t="s">
        <v>1956</v>
      </c>
      <c r="H942" s="841" t="s">
        <v>1957</v>
      </c>
      <c r="I942" s="515" t="s">
        <v>1443</v>
      </c>
      <c r="J942" s="538" t="s">
        <v>4069</v>
      </c>
      <c r="K942" s="580">
        <v>136046.5</v>
      </c>
      <c r="L942" s="580">
        <v>53.501600000000003</v>
      </c>
      <c r="M942" s="552">
        <f t="shared" si="77"/>
        <v>2542.8491858187417</v>
      </c>
      <c r="N942" s="526">
        <v>60</v>
      </c>
      <c r="O942" s="563">
        <f t="shared" si="73"/>
        <v>2267.4416666666666</v>
      </c>
      <c r="P942" s="564">
        <f t="shared" ca="1" si="74"/>
        <v>33</v>
      </c>
      <c r="Q942" s="552">
        <f t="shared" ca="1" si="75"/>
        <v>61220.925000000003</v>
      </c>
      <c r="R942" s="563">
        <f t="shared" ca="1" si="76"/>
        <v>61220.925000000003</v>
      </c>
      <c r="S942" s="565" t="s">
        <v>1315</v>
      </c>
    </row>
    <row r="943" spans="1:19" ht="60" customHeight="1" x14ac:dyDescent="0.25">
      <c r="B943" s="861">
        <v>44844</v>
      </c>
      <c r="C943" s="583" t="s">
        <v>2349</v>
      </c>
      <c r="D943" s="583"/>
      <c r="E943" s="548" t="s">
        <v>1954</v>
      </c>
      <c r="F943" s="548" t="s">
        <v>1958</v>
      </c>
      <c r="G943" s="549" t="s">
        <v>1956</v>
      </c>
      <c r="H943" s="841" t="s">
        <v>1959</v>
      </c>
      <c r="I943" s="515" t="s">
        <v>1443</v>
      </c>
      <c r="J943" s="538" t="s">
        <v>4069</v>
      </c>
      <c r="K943" s="580">
        <v>136046.5</v>
      </c>
      <c r="L943" s="580">
        <v>53.501600000000003</v>
      </c>
      <c r="M943" s="552">
        <f t="shared" si="77"/>
        <v>2542.8491858187417</v>
      </c>
      <c r="N943" s="526">
        <v>60</v>
      </c>
      <c r="O943" s="563">
        <f t="shared" si="73"/>
        <v>2267.4416666666666</v>
      </c>
      <c r="P943" s="564">
        <f t="shared" ca="1" si="74"/>
        <v>33</v>
      </c>
      <c r="Q943" s="552">
        <f t="shared" ca="1" si="75"/>
        <v>61220.925000000003</v>
      </c>
      <c r="R943" s="563">
        <f t="shared" ca="1" si="76"/>
        <v>61220.925000000003</v>
      </c>
      <c r="S943" s="565" t="s">
        <v>1315</v>
      </c>
    </row>
    <row r="944" spans="1:19" ht="60" customHeight="1" x14ac:dyDescent="0.25">
      <c r="B944" s="861">
        <v>44844</v>
      </c>
      <c r="C944" s="583" t="s">
        <v>2349</v>
      </c>
      <c r="D944" s="583"/>
      <c r="E944" s="548" t="s">
        <v>1954</v>
      </c>
      <c r="F944" s="548" t="s">
        <v>1960</v>
      </c>
      <c r="G944" s="549" t="s">
        <v>1956</v>
      </c>
      <c r="H944" s="843" t="s">
        <v>1971</v>
      </c>
      <c r="I944" s="515" t="s">
        <v>1443</v>
      </c>
      <c r="J944" s="538" t="s">
        <v>4069</v>
      </c>
      <c r="K944" s="580">
        <v>136046.5</v>
      </c>
      <c r="L944" s="580">
        <v>53.501600000000003</v>
      </c>
      <c r="M944" s="552">
        <f t="shared" si="77"/>
        <v>2542.8491858187417</v>
      </c>
      <c r="N944" s="526">
        <v>60</v>
      </c>
      <c r="O944" s="563">
        <f t="shared" si="73"/>
        <v>2267.4416666666666</v>
      </c>
      <c r="P944" s="564">
        <f t="shared" ca="1" si="74"/>
        <v>33</v>
      </c>
      <c r="Q944" s="552">
        <f t="shared" ca="1" si="75"/>
        <v>61220.925000000003</v>
      </c>
      <c r="R944" s="563">
        <f t="shared" ca="1" si="76"/>
        <v>61220.925000000003</v>
      </c>
      <c r="S944" s="565" t="s">
        <v>1315</v>
      </c>
    </row>
    <row r="945" spans="2:19" ht="60" customHeight="1" x14ac:dyDescent="0.25">
      <c r="B945" s="861">
        <v>44844</v>
      </c>
      <c r="C945" s="583" t="s">
        <v>2349</v>
      </c>
      <c r="D945" s="583"/>
      <c r="E945" s="548" t="s">
        <v>1954</v>
      </c>
      <c r="F945" s="548" t="s">
        <v>1962</v>
      </c>
      <c r="G945" s="549" t="s">
        <v>1956</v>
      </c>
      <c r="H945" s="841" t="s">
        <v>1963</v>
      </c>
      <c r="I945" s="515" t="s">
        <v>4072</v>
      </c>
      <c r="J945" s="538" t="s">
        <v>4070</v>
      </c>
      <c r="K945" s="580">
        <v>136046.5</v>
      </c>
      <c r="L945" s="580">
        <v>53.501600000000003</v>
      </c>
      <c r="M945" s="552">
        <f t="shared" si="77"/>
        <v>2542.8491858187417</v>
      </c>
      <c r="N945" s="526">
        <v>60</v>
      </c>
      <c r="O945" s="563">
        <f t="shared" si="73"/>
        <v>2267.4416666666666</v>
      </c>
      <c r="P945" s="564">
        <f t="shared" ca="1" si="74"/>
        <v>33</v>
      </c>
      <c r="Q945" s="552">
        <f t="shared" ca="1" si="75"/>
        <v>61220.925000000003</v>
      </c>
      <c r="R945" s="563">
        <f t="shared" ca="1" si="76"/>
        <v>61220.925000000003</v>
      </c>
      <c r="S945" s="565" t="s">
        <v>1315</v>
      </c>
    </row>
    <row r="946" spans="2:19" ht="60" customHeight="1" x14ac:dyDescent="0.25">
      <c r="B946" s="861">
        <v>44844</v>
      </c>
      <c r="C946" s="583" t="s">
        <v>2349</v>
      </c>
      <c r="D946" s="583"/>
      <c r="E946" s="548" t="s">
        <v>1954</v>
      </c>
      <c r="F946" s="548" t="s">
        <v>1964</v>
      </c>
      <c r="G946" s="549" t="s">
        <v>1956</v>
      </c>
      <c r="H946" s="843" t="s">
        <v>1969</v>
      </c>
      <c r="I946" s="515" t="s">
        <v>4072</v>
      </c>
      <c r="J946" s="538" t="s">
        <v>4070</v>
      </c>
      <c r="K946" s="580">
        <v>136046.5</v>
      </c>
      <c r="L946" s="580">
        <v>53.501600000000003</v>
      </c>
      <c r="M946" s="552">
        <f t="shared" si="77"/>
        <v>2542.8491858187417</v>
      </c>
      <c r="N946" s="526">
        <v>60</v>
      </c>
      <c r="O946" s="563">
        <f t="shared" si="73"/>
        <v>2267.4416666666666</v>
      </c>
      <c r="P946" s="564">
        <f t="shared" ca="1" si="74"/>
        <v>33</v>
      </c>
      <c r="Q946" s="552">
        <f t="shared" ca="1" si="75"/>
        <v>61220.925000000003</v>
      </c>
      <c r="R946" s="563">
        <f t="shared" ca="1" si="76"/>
        <v>61220.925000000003</v>
      </c>
      <c r="S946" s="565" t="s">
        <v>1315</v>
      </c>
    </row>
    <row r="947" spans="2:19" ht="60" customHeight="1" x14ac:dyDescent="0.25">
      <c r="B947" s="861">
        <v>44844</v>
      </c>
      <c r="C947" s="583" t="s">
        <v>2349</v>
      </c>
      <c r="D947" s="583"/>
      <c r="E947" s="548" t="s">
        <v>1954</v>
      </c>
      <c r="F947" s="548" t="s">
        <v>1966</v>
      </c>
      <c r="G947" s="549" t="s">
        <v>1956</v>
      </c>
      <c r="H947" s="841" t="s">
        <v>1967</v>
      </c>
      <c r="I947" s="515" t="s">
        <v>4072</v>
      </c>
      <c r="J947" s="538" t="s">
        <v>4070</v>
      </c>
      <c r="K947" s="580">
        <v>136046.5</v>
      </c>
      <c r="L947" s="580">
        <v>53.501600000000003</v>
      </c>
      <c r="M947" s="552">
        <f t="shared" si="77"/>
        <v>2542.8491858187417</v>
      </c>
      <c r="N947" s="526">
        <v>60</v>
      </c>
      <c r="O947" s="563">
        <f t="shared" si="73"/>
        <v>2267.4416666666666</v>
      </c>
      <c r="P947" s="564">
        <f t="shared" ca="1" si="74"/>
        <v>33</v>
      </c>
      <c r="Q947" s="552">
        <f t="shared" ca="1" si="75"/>
        <v>61220.925000000003</v>
      </c>
      <c r="R947" s="563">
        <f t="shared" ca="1" si="76"/>
        <v>61220.925000000003</v>
      </c>
      <c r="S947" s="565" t="s">
        <v>1315</v>
      </c>
    </row>
    <row r="948" spans="2:19" ht="60" customHeight="1" x14ac:dyDescent="0.25">
      <c r="B948" s="861">
        <v>44844</v>
      </c>
      <c r="C948" s="583" t="s">
        <v>2349</v>
      </c>
      <c r="D948" s="583"/>
      <c r="E948" s="548" t="s">
        <v>1954</v>
      </c>
      <c r="F948" s="548" t="s">
        <v>1968</v>
      </c>
      <c r="G948" s="549" t="s">
        <v>1956</v>
      </c>
      <c r="H948" s="843" t="s">
        <v>1965</v>
      </c>
      <c r="I948" s="548" t="s">
        <v>1344</v>
      </c>
      <c r="J948" s="538" t="s">
        <v>4066</v>
      </c>
      <c r="K948" s="580">
        <v>136046.5</v>
      </c>
      <c r="L948" s="580">
        <v>53.501600000000003</v>
      </c>
      <c r="M948" s="552">
        <f t="shared" si="77"/>
        <v>2542.8491858187417</v>
      </c>
      <c r="N948" s="526">
        <v>60</v>
      </c>
      <c r="O948" s="563">
        <f t="shared" si="73"/>
        <v>2267.4416666666666</v>
      </c>
      <c r="P948" s="564">
        <f t="shared" ca="1" si="74"/>
        <v>33</v>
      </c>
      <c r="Q948" s="552">
        <f t="shared" ca="1" si="75"/>
        <v>61220.925000000003</v>
      </c>
      <c r="R948" s="563">
        <f t="shared" ca="1" si="76"/>
        <v>61220.925000000003</v>
      </c>
      <c r="S948" s="565" t="s">
        <v>1315</v>
      </c>
    </row>
    <row r="949" spans="2:19" ht="60" customHeight="1" x14ac:dyDescent="0.25">
      <c r="B949" s="861">
        <v>44844</v>
      </c>
      <c r="C949" s="583" t="s">
        <v>2349</v>
      </c>
      <c r="D949" s="583"/>
      <c r="E949" s="548" t="s">
        <v>1954</v>
      </c>
      <c r="F949" s="548" t="s">
        <v>1970</v>
      </c>
      <c r="G949" s="549" t="s">
        <v>1956</v>
      </c>
      <c r="H949" s="843" t="s">
        <v>1975</v>
      </c>
      <c r="I949" s="548" t="s">
        <v>1344</v>
      </c>
      <c r="J949" s="538" t="s">
        <v>4066</v>
      </c>
      <c r="K949" s="580">
        <v>136046.5</v>
      </c>
      <c r="L949" s="580">
        <v>53.501600000000003</v>
      </c>
      <c r="M949" s="552">
        <f t="shared" si="77"/>
        <v>2542.8491858187417</v>
      </c>
      <c r="N949" s="526">
        <v>60</v>
      </c>
      <c r="O949" s="563">
        <f t="shared" si="73"/>
        <v>2267.4416666666666</v>
      </c>
      <c r="P949" s="564">
        <f t="shared" ca="1" si="74"/>
        <v>33</v>
      </c>
      <c r="Q949" s="552">
        <f t="shared" ca="1" si="75"/>
        <v>61220.925000000003</v>
      </c>
      <c r="R949" s="563">
        <f t="shared" ca="1" si="76"/>
        <v>61220.925000000003</v>
      </c>
      <c r="S949" s="565" t="s">
        <v>1315</v>
      </c>
    </row>
    <row r="950" spans="2:19" ht="60" customHeight="1" x14ac:dyDescent="0.25">
      <c r="B950" s="861">
        <v>44844</v>
      </c>
      <c r="C950" s="583" t="s">
        <v>2349</v>
      </c>
      <c r="D950" s="583"/>
      <c r="E950" s="548" t="s">
        <v>1954</v>
      </c>
      <c r="F950" s="548" t="s">
        <v>1972</v>
      </c>
      <c r="G950" s="549" t="s">
        <v>1956</v>
      </c>
      <c r="H950" s="841" t="s">
        <v>6572</v>
      </c>
      <c r="I950" s="539" t="s">
        <v>4376</v>
      </c>
      <c r="J950" s="538" t="s">
        <v>4071</v>
      </c>
      <c r="K950" s="580">
        <v>136046.5</v>
      </c>
      <c r="L950" s="580">
        <v>53.501600000000003</v>
      </c>
      <c r="M950" s="552">
        <f t="shared" si="77"/>
        <v>2542.8491858187417</v>
      </c>
      <c r="N950" s="526">
        <v>60</v>
      </c>
      <c r="O950" s="563">
        <f t="shared" si="73"/>
        <v>2267.4416666666666</v>
      </c>
      <c r="P950" s="564">
        <f t="shared" ca="1" si="74"/>
        <v>33</v>
      </c>
      <c r="Q950" s="552">
        <f t="shared" ca="1" si="75"/>
        <v>61220.925000000003</v>
      </c>
      <c r="R950" s="563">
        <f t="shared" ca="1" si="76"/>
        <v>61220.925000000003</v>
      </c>
      <c r="S950" s="565" t="s">
        <v>1315</v>
      </c>
    </row>
    <row r="951" spans="2:19" ht="60" customHeight="1" x14ac:dyDescent="0.25">
      <c r="B951" s="861">
        <v>44844</v>
      </c>
      <c r="C951" s="583" t="s">
        <v>2349</v>
      </c>
      <c r="D951" s="583"/>
      <c r="E951" s="548" t="s">
        <v>1954</v>
      </c>
      <c r="F951" s="548" t="s">
        <v>1974</v>
      </c>
      <c r="G951" s="549" t="s">
        <v>1956</v>
      </c>
      <c r="H951" s="843" t="s">
        <v>1961</v>
      </c>
      <c r="I951" s="515" t="s">
        <v>4389</v>
      </c>
      <c r="J951" s="538" t="s">
        <v>4065</v>
      </c>
      <c r="K951" s="580">
        <v>136046.5</v>
      </c>
      <c r="L951" s="580">
        <v>53.501600000000003</v>
      </c>
      <c r="M951" s="552">
        <f t="shared" si="77"/>
        <v>2542.8491858187417</v>
      </c>
      <c r="N951" s="526">
        <v>60</v>
      </c>
      <c r="O951" s="563">
        <f t="shared" si="73"/>
        <v>2267.4416666666666</v>
      </c>
      <c r="P951" s="564">
        <f t="shared" ca="1" si="74"/>
        <v>33</v>
      </c>
      <c r="Q951" s="552">
        <f t="shared" ca="1" si="75"/>
        <v>61220.925000000003</v>
      </c>
      <c r="R951" s="563">
        <f t="shared" ca="1" si="76"/>
        <v>61220.925000000003</v>
      </c>
      <c r="S951" s="565" t="s">
        <v>1315</v>
      </c>
    </row>
    <row r="952" spans="2:19" ht="60" customHeight="1" x14ac:dyDescent="0.25">
      <c r="B952" s="861">
        <v>44853</v>
      </c>
      <c r="C952" s="583" t="s">
        <v>2349</v>
      </c>
      <c r="D952" s="583"/>
      <c r="E952" s="548" t="s">
        <v>1976</v>
      </c>
      <c r="F952" s="548" t="s">
        <v>1998</v>
      </c>
      <c r="G952" s="549" t="s">
        <v>1999</v>
      </c>
      <c r="H952" s="548" t="s">
        <v>2000</v>
      </c>
      <c r="I952" s="548" t="s">
        <v>1796</v>
      </c>
      <c r="J952" s="575" t="s">
        <v>1594</v>
      </c>
      <c r="K952" s="580">
        <v>4498.16</v>
      </c>
      <c r="L952" s="580">
        <v>53.501600000000003</v>
      </c>
      <c r="M952" s="552">
        <f t="shared" si="77"/>
        <v>84.075242609566814</v>
      </c>
      <c r="N952" s="526">
        <v>60</v>
      </c>
      <c r="O952" s="563">
        <f t="shared" si="73"/>
        <v>74.969333333333324</v>
      </c>
      <c r="P952" s="564">
        <f t="shared" ca="1" si="74"/>
        <v>33</v>
      </c>
      <c r="Q952" s="552">
        <f t="shared" ca="1" si="75"/>
        <v>2024.172</v>
      </c>
      <c r="R952" s="563">
        <f t="shared" ca="1" si="76"/>
        <v>2024.172</v>
      </c>
      <c r="S952" s="565" t="s">
        <v>1103</v>
      </c>
    </row>
    <row r="953" spans="2:19" ht="60" customHeight="1" x14ac:dyDescent="0.25">
      <c r="B953" s="861">
        <v>44853</v>
      </c>
      <c r="C953" s="583" t="s">
        <v>2349</v>
      </c>
      <c r="D953" s="583"/>
      <c r="E953" s="548" t="s">
        <v>1976</v>
      </c>
      <c r="F953" s="548" t="s">
        <v>2001</v>
      </c>
      <c r="G953" s="549" t="s">
        <v>1999</v>
      </c>
      <c r="H953" s="548" t="s">
        <v>2002</v>
      </c>
      <c r="I953" s="548" t="s">
        <v>1796</v>
      </c>
      <c r="J953" s="575" t="s">
        <v>1594</v>
      </c>
      <c r="K953" s="580">
        <v>4498.16</v>
      </c>
      <c r="L953" s="580">
        <v>53.501600000000003</v>
      </c>
      <c r="M953" s="552">
        <f t="shared" si="77"/>
        <v>84.075242609566814</v>
      </c>
      <c r="N953" s="526">
        <v>60</v>
      </c>
      <c r="O953" s="563">
        <f t="shared" si="73"/>
        <v>74.969333333333324</v>
      </c>
      <c r="P953" s="564">
        <f t="shared" ca="1" si="74"/>
        <v>33</v>
      </c>
      <c r="Q953" s="552">
        <f t="shared" ca="1" si="75"/>
        <v>2024.172</v>
      </c>
      <c r="R953" s="563">
        <f t="shared" ca="1" si="76"/>
        <v>2024.172</v>
      </c>
      <c r="S953" s="565" t="s">
        <v>1103</v>
      </c>
    </row>
    <row r="954" spans="2:19" ht="60" customHeight="1" x14ac:dyDescent="0.25">
      <c r="B954" s="861">
        <v>44853</v>
      </c>
      <c r="C954" s="583" t="s">
        <v>2349</v>
      </c>
      <c r="D954" s="583"/>
      <c r="E954" s="548" t="s">
        <v>1976</v>
      </c>
      <c r="F954" s="548" t="s">
        <v>2003</v>
      </c>
      <c r="G954" s="549" t="s">
        <v>1999</v>
      </c>
      <c r="H954" s="548" t="s">
        <v>2004</v>
      </c>
      <c r="I954" s="548" t="s">
        <v>1796</v>
      </c>
      <c r="J954" s="575" t="s">
        <v>1594</v>
      </c>
      <c r="K954" s="580">
        <v>4498.16</v>
      </c>
      <c r="L954" s="580">
        <v>53.501600000000003</v>
      </c>
      <c r="M954" s="552">
        <f t="shared" si="77"/>
        <v>84.075242609566814</v>
      </c>
      <c r="N954" s="526">
        <v>60</v>
      </c>
      <c r="O954" s="563">
        <f t="shared" si="73"/>
        <v>74.969333333333324</v>
      </c>
      <c r="P954" s="564">
        <f t="shared" ca="1" si="74"/>
        <v>33</v>
      </c>
      <c r="Q954" s="552">
        <f t="shared" ca="1" si="75"/>
        <v>2024.172</v>
      </c>
      <c r="R954" s="563">
        <f t="shared" ca="1" si="76"/>
        <v>2024.172</v>
      </c>
      <c r="S954" s="565" t="s">
        <v>1103</v>
      </c>
    </row>
    <row r="955" spans="2:19" ht="60" customHeight="1" x14ac:dyDescent="0.25">
      <c r="B955" s="861">
        <v>44853</v>
      </c>
      <c r="C955" s="583" t="s">
        <v>2349</v>
      </c>
      <c r="D955" s="583"/>
      <c r="E955" s="548" t="s">
        <v>1976</v>
      </c>
      <c r="F955" s="548" t="s">
        <v>2005</v>
      </c>
      <c r="G955" s="549" t="s">
        <v>1999</v>
      </c>
      <c r="H955" s="548" t="s">
        <v>2006</v>
      </c>
      <c r="I955" s="548" t="s">
        <v>1796</v>
      </c>
      <c r="J955" s="575" t="s">
        <v>1594</v>
      </c>
      <c r="K955" s="580">
        <v>4498.16</v>
      </c>
      <c r="L955" s="580">
        <v>53.501600000000003</v>
      </c>
      <c r="M955" s="552">
        <f t="shared" si="77"/>
        <v>84.075242609566814</v>
      </c>
      <c r="N955" s="526">
        <v>60</v>
      </c>
      <c r="O955" s="563">
        <f t="shared" si="73"/>
        <v>74.969333333333324</v>
      </c>
      <c r="P955" s="564">
        <f t="shared" ca="1" si="74"/>
        <v>33</v>
      </c>
      <c r="Q955" s="552">
        <f t="shared" ca="1" si="75"/>
        <v>2024.172</v>
      </c>
      <c r="R955" s="563">
        <f t="shared" ca="1" si="76"/>
        <v>2024.172</v>
      </c>
      <c r="S955" s="565" t="s">
        <v>1103</v>
      </c>
    </row>
    <row r="956" spans="2:19" ht="60" customHeight="1" x14ac:dyDescent="0.25">
      <c r="B956" s="861">
        <v>44853</v>
      </c>
      <c r="C956" s="583" t="s">
        <v>2349</v>
      </c>
      <c r="D956" s="583"/>
      <c r="E956" s="548" t="s">
        <v>1976</v>
      </c>
      <c r="F956" s="548" t="s">
        <v>2007</v>
      </c>
      <c r="G956" s="549" t="s">
        <v>1999</v>
      </c>
      <c r="H956" s="548" t="s">
        <v>2008</v>
      </c>
      <c r="I956" s="548" t="s">
        <v>1796</v>
      </c>
      <c r="J956" s="575" t="s">
        <v>1594</v>
      </c>
      <c r="K956" s="580">
        <v>4498.16</v>
      </c>
      <c r="L956" s="580">
        <v>53.501600000000003</v>
      </c>
      <c r="M956" s="552">
        <f t="shared" si="77"/>
        <v>84.075242609566814</v>
      </c>
      <c r="N956" s="526">
        <v>60</v>
      </c>
      <c r="O956" s="563">
        <f t="shared" si="73"/>
        <v>74.969333333333324</v>
      </c>
      <c r="P956" s="564">
        <f t="shared" ca="1" si="74"/>
        <v>33</v>
      </c>
      <c r="Q956" s="552">
        <f t="shared" ca="1" si="75"/>
        <v>2024.172</v>
      </c>
      <c r="R956" s="563">
        <f t="shared" ca="1" si="76"/>
        <v>2024.172</v>
      </c>
      <c r="S956" s="565" t="s">
        <v>1103</v>
      </c>
    </row>
    <row r="957" spans="2:19" ht="60" customHeight="1" x14ac:dyDescent="0.25">
      <c r="B957" s="861">
        <v>44853</v>
      </c>
      <c r="C957" s="583" t="s">
        <v>2349</v>
      </c>
      <c r="D957" s="583"/>
      <c r="E957" s="548" t="s">
        <v>1976</v>
      </c>
      <c r="F957" s="548" t="s">
        <v>2009</v>
      </c>
      <c r="G957" s="549" t="s">
        <v>1999</v>
      </c>
      <c r="H957" s="548" t="s">
        <v>2010</v>
      </c>
      <c r="I957" s="548" t="s">
        <v>1796</v>
      </c>
      <c r="J957" s="575" t="s">
        <v>1594</v>
      </c>
      <c r="K957" s="580">
        <v>4498.16</v>
      </c>
      <c r="L957" s="580">
        <v>53.501600000000003</v>
      </c>
      <c r="M957" s="552">
        <f t="shared" si="77"/>
        <v>84.075242609566814</v>
      </c>
      <c r="N957" s="526">
        <v>60</v>
      </c>
      <c r="O957" s="563">
        <f t="shared" si="73"/>
        <v>74.969333333333324</v>
      </c>
      <c r="P957" s="564">
        <f t="shared" ca="1" si="74"/>
        <v>33</v>
      </c>
      <c r="Q957" s="552">
        <f t="shared" ca="1" si="75"/>
        <v>2024.172</v>
      </c>
      <c r="R957" s="563">
        <f t="shared" ca="1" si="76"/>
        <v>2024.172</v>
      </c>
      <c r="S957" s="565" t="s">
        <v>1103</v>
      </c>
    </row>
    <row r="958" spans="2:19" ht="60" customHeight="1" x14ac:dyDescent="0.25">
      <c r="B958" s="861">
        <v>44853</v>
      </c>
      <c r="C958" s="583" t="s">
        <v>2349</v>
      </c>
      <c r="D958" s="583"/>
      <c r="E958" s="548" t="s">
        <v>1976</v>
      </c>
      <c r="F958" s="548" t="s">
        <v>2011</v>
      </c>
      <c r="G958" s="549" t="s">
        <v>1999</v>
      </c>
      <c r="H958" s="548" t="s">
        <v>2012</v>
      </c>
      <c r="I958" s="548" t="s">
        <v>1796</v>
      </c>
      <c r="J958" s="575" t="s">
        <v>1594</v>
      </c>
      <c r="K958" s="580">
        <v>4498.16</v>
      </c>
      <c r="L958" s="580">
        <v>53.501600000000003</v>
      </c>
      <c r="M958" s="552">
        <f t="shared" si="77"/>
        <v>84.075242609566814</v>
      </c>
      <c r="N958" s="526">
        <v>60</v>
      </c>
      <c r="O958" s="563">
        <f t="shared" si="73"/>
        <v>74.969333333333324</v>
      </c>
      <c r="P958" s="564">
        <f t="shared" ca="1" si="74"/>
        <v>33</v>
      </c>
      <c r="Q958" s="552">
        <f t="shared" ca="1" si="75"/>
        <v>2024.172</v>
      </c>
      <c r="R958" s="563">
        <f t="shared" ca="1" si="76"/>
        <v>2024.172</v>
      </c>
      <c r="S958" s="565" t="s">
        <v>1103</v>
      </c>
    </row>
    <row r="959" spans="2:19" ht="60" customHeight="1" x14ac:dyDescent="0.25">
      <c r="B959" s="861">
        <v>44853</v>
      </c>
      <c r="C959" s="583" t="s">
        <v>2349</v>
      </c>
      <c r="D959" s="583"/>
      <c r="E959" s="548" t="s">
        <v>1976</v>
      </c>
      <c r="F959" s="548" t="s">
        <v>2013</v>
      </c>
      <c r="G959" s="549" t="s">
        <v>1999</v>
      </c>
      <c r="H959" s="548" t="s">
        <v>2014</v>
      </c>
      <c r="I959" s="548" t="s">
        <v>1796</v>
      </c>
      <c r="J959" s="575" t="s">
        <v>1594</v>
      </c>
      <c r="K959" s="580">
        <v>4498.16</v>
      </c>
      <c r="L959" s="580">
        <v>53.501600000000003</v>
      </c>
      <c r="M959" s="552">
        <f t="shared" si="77"/>
        <v>84.075242609566814</v>
      </c>
      <c r="N959" s="526">
        <v>60</v>
      </c>
      <c r="O959" s="563">
        <f t="shared" si="73"/>
        <v>74.969333333333324</v>
      </c>
      <c r="P959" s="564">
        <f t="shared" ca="1" si="74"/>
        <v>33</v>
      </c>
      <c r="Q959" s="552">
        <f t="shared" ca="1" si="75"/>
        <v>2024.172</v>
      </c>
      <c r="R959" s="563">
        <f t="shared" ca="1" si="76"/>
        <v>2024.172</v>
      </c>
      <c r="S959" s="565" t="s">
        <v>1103</v>
      </c>
    </row>
    <row r="960" spans="2:19" ht="60" customHeight="1" x14ac:dyDescent="0.25">
      <c r="B960" s="861">
        <v>44853</v>
      </c>
      <c r="C960" s="583" t="s">
        <v>2349</v>
      </c>
      <c r="D960" s="583"/>
      <c r="E960" s="548" t="s">
        <v>1976</v>
      </c>
      <c r="F960" s="548" t="s">
        <v>2015</v>
      </c>
      <c r="G960" s="549" t="s">
        <v>1999</v>
      </c>
      <c r="H960" s="548" t="s">
        <v>2016</v>
      </c>
      <c r="I960" s="548" t="s">
        <v>1796</v>
      </c>
      <c r="J960" s="575" t="s">
        <v>1594</v>
      </c>
      <c r="K960" s="580">
        <v>4498.16</v>
      </c>
      <c r="L960" s="580">
        <v>53.501600000000003</v>
      </c>
      <c r="M960" s="552">
        <f t="shared" si="77"/>
        <v>84.075242609566814</v>
      </c>
      <c r="N960" s="526">
        <v>60</v>
      </c>
      <c r="O960" s="563">
        <f t="shared" si="73"/>
        <v>74.969333333333324</v>
      </c>
      <c r="P960" s="564">
        <f t="shared" ca="1" si="74"/>
        <v>33</v>
      </c>
      <c r="Q960" s="552">
        <f ca="1">K960-(O960*P960)</f>
        <v>2024.172</v>
      </c>
      <c r="R960" s="563">
        <f t="shared" ca="1" si="76"/>
        <v>2024.172</v>
      </c>
      <c r="S960" s="565" t="s">
        <v>1103</v>
      </c>
    </row>
    <row r="961" spans="2:19" ht="60" customHeight="1" x14ac:dyDescent="0.25">
      <c r="B961" s="861">
        <v>44853</v>
      </c>
      <c r="C961" s="583" t="s">
        <v>2349</v>
      </c>
      <c r="D961" s="583"/>
      <c r="E961" s="548" t="s">
        <v>1976</v>
      </c>
      <c r="F961" s="548" t="s">
        <v>2017</v>
      </c>
      <c r="G961" s="549" t="s">
        <v>1999</v>
      </c>
      <c r="H961" s="548" t="s">
        <v>2018</v>
      </c>
      <c r="I961" s="548" t="s">
        <v>1796</v>
      </c>
      <c r="J961" s="575" t="s">
        <v>1594</v>
      </c>
      <c r="K961" s="580">
        <v>4498.16</v>
      </c>
      <c r="L961" s="580">
        <v>53.501600000000003</v>
      </c>
      <c r="M961" s="552">
        <f t="shared" si="77"/>
        <v>84.075242609566814</v>
      </c>
      <c r="N961" s="526">
        <v>60</v>
      </c>
      <c r="O961" s="563">
        <f t="shared" si="73"/>
        <v>74.969333333333324</v>
      </c>
      <c r="P961" s="564">
        <f t="shared" ca="1" si="74"/>
        <v>33</v>
      </c>
      <c r="Q961" s="552">
        <f ca="1">K961-(O961*P961)</f>
        <v>2024.172</v>
      </c>
      <c r="R961" s="563">
        <f t="shared" ca="1" si="76"/>
        <v>2024.172</v>
      </c>
      <c r="S961" s="565" t="s">
        <v>1103</v>
      </c>
    </row>
    <row r="962" spans="2:19" ht="60" customHeight="1" x14ac:dyDescent="0.25">
      <c r="B962" s="861">
        <v>44853</v>
      </c>
      <c r="C962" s="583" t="s">
        <v>2349</v>
      </c>
      <c r="D962" s="583"/>
      <c r="E962" s="548" t="s">
        <v>1976</v>
      </c>
      <c r="F962" s="548" t="s">
        <v>1977</v>
      </c>
      <c r="G962" s="549" t="s">
        <v>1978</v>
      </c>
      <c r="H962" s="548" t="s">
        <v>1979</v>
      </c>
      <c r="I962" s="548" t="s">
        <v>1796</v>
      </c>
      <c r="J962" s="575" t="s">
        <v>1594</v>
      </c>
      <c r="K962" s="580">
        <v>13086.2</v>
      </c>
      <c r="L962" s="580">
        <v>53.501600000000003</v>
      </c>
      <c r="M962" s="552">
        <f t="shared" si="77"/>
        <v>244.59455418155719</v>
      </c>
      <c r="N962" s="526">
        <v>60</v>
      </c>
      <c r="O962" s="563">
        <f t="shared" si="73"/>
        <v>218.10333333333335</v>
      </c>
      <c r="P962" s="564">
        <f t="shared" ca="1" si="74"/>
        <v>33</v>
      </c>
      <c r="Q962" s="552">
        <f t="shared" ref="Q962:Q1025" ca="1" si="78">IF(OR(K962=0,N962=0,P962=0),0,K962-(O962*P962))</f>
        <v>5888.79</v>
      </c>
      <c r="R962" s="563">
        <f t="shared" ca="1" si="76"/>
        <v>5888.79</v>
      </c>
      <c r="S962" s="565" t="s">
        <v>1767</v>
      </c>
    </row>
    <row r="963" spans="2:19" ht="60" customHeight="1" x14ac:dyDescent="0.25">
      <c r="B963" s="861">
        <v>44853</v>
      </c>
      <c r="C963" s="583" t="s">
        <v>2349</v>
      </c>
      <c r="D963" s="583"/>
      <c r="E963" s="548" t="s">
        <v>1976</v>
      </c>
      <c r="F963" s="548" t="s">
        <v>1980</v>
      </c>
      <c r="G963" s="549" t="s">
        <v>1978</v>
      </c>
      <c r="H963" s="548" t="s">
        <v>1981</v>
      </c>
      <c r="I963" s="548" t="s">
        <v>1796</v>
      </c>
      <c r="J963" s="575" t="s">
        <v>1594</v>
      </c>
      <c r="K963" s="580">
        <v>13086.2</v>
      </c>
      <c r="L963" s="580">
        <v>53.501600000000003</v>
      </c>
      <c r="M963" s="552">
        <f t="shared" si="77"/>
        <v>244.59455418155719</v>
      </c>
      <c r="N963" s="526">
        <v>60</v>
      </c>
      <c r="O963" s="563">
        <f t="shared" si="73"/>
        <v>218.10333333333335</v>
      </c>
      <c r="P963" s="564">
        <f t="shared" ca="1" si="74"/>
        <v>33</v>
      </c>
      <c r="Q963" s="552">
        <f t="shared" ca="1" si="78"/>
        <v>5888.79</v>
      </c>
      <c r="R963" s="563">
        <f t="shared" ca="1" si="76"/>
        <v>5888.79</v>
      </c>
      <c r="S963" s="565" t="s">
        <v>1103</v>
      </c>
    </row>
    <row r="964" spans="2:19" ht="60" customHeight="1" x14ac:dyDescent="0.25">
      <c r="B964" s="861">
        <v>44853</v>
      </c>
      <c r="C964" s="583" t="s">
        <v>2349</v>
      </c>
      <c r="D964" s="583"/>
      <c r="E964" s="548" t="s">
        <v>1976</v>
      </c>
      <c r="F964" s="548" t="s">
        <v>1982</v>
      </c>
      <c r="G964" s="549" t="s">
        <v>1978</v>
      </c>
      <c r="H964" s="548" t="s">
        <v>1983</v>
      </c>
      <c r="I964" s="548" t="s">
        <v>1796</v>
      </c>
      <c r="J964" s="575" t="s">
        <v>1594</v>
      </c>
      <c r="K964" s="580">
        <v>13086.2</v>
      </c>
      <c r="L964" s="580">
        <v>53.501600000000003</v>
      </c>
      <c r="M964" s="552">
        <f t="shared" si="77"/>
        <v>244.59455418155719</v>
      </c>
      <c r="N964" s="526">
        <v>60</v>
      </c>
      <c r="O964" s="563">
        <f t="shared" si="73"/>
        <v>218.10333333333335</v>
      </c>
      <c r="P964" s="564">
        <f t="shared" ca="1" si="74"/>
        <v>33</v>
      </c>
      <c r="Q964" s="552">
        <f t="shared" ca="1" si="78"/>
        <v>5888.79</v>
      </c>
      <c r="R964" s="563">
        <f t="shared" ca="1" si="76"/>
        <v>5888.79</v>
      </c>
      <c r="S964" s="565" t="s">
        <v>1103</v>
      </c>
    </row>
    <row r="965" spans="2:19" ht="60" customHeight="1" x14ac:dyDescent="0.25">
      <c r="B965" s="861">
        <v>44853</v>
      </c>
      <c r="C965" s="583" t="s">
        <v>2349</v>
      </c>
      <c r="D965" s="583"/>
      <c r="E965" s="548" t="s">
        <v>1976</v>
      </c>
      <c r="F965" s="548" t="s">
        <v>1984</v>
      </c>
      <c r="G965" s="549" t="s">
        <v>1978</v>
      </c>
      <c r="H965" s="548" t="s">
        <v>1985</v>
      </c>
      <c r="I965" s="548" t="s">
        <v>1796</v>
      </c>
      <c r="J965" s="575" t="s">
        <v>1594</v>
      </c>
      <c r="K965" s="580">
        <v>13086.2</v>
      </c>
      <c r="L965" s="580">
        <v>53.501600000000003</v>
      </c>
      <c r="M965" s="552">
        <f t="shared" si="77"/>
        <v>244.59455418155719</v>
      </c>
      <c r="N965" s="526">
        <v>60</v>
      </c>
      <c r="O965" s="563">
        <f t="shared" si="73"/>
        <v>218.10333333333335</v>
      </c>
      <c r="P965" s="564">
        <f t="shared" ca="1" si="74"/>
        <v>33</v>
      </c>
      <c r="Q965" s="552">
        <f t="shared" ca="1" si="78"/>
        <v>5888.79</v>
      </c>
      <c r="R965" s="563">
        <f t="shared" ca="1" si="76"/>
        <v>5888.79</v>
      </c>
      <c r="S965" s="565" t="s">
        <v>1103</v>
      </c>
    </row>
    <row r="966" spans="2:19" ht="60" customHeight="1" x14ac:dyDescent="0.25">
      <c r="B966" s="861">
        <v>44853</v>
      </c>
      <c r="C966" s="583" t="s">
        <v>2349</v>
      </c>
      <c r="D966" s="583"/>
      <c r="E966" s="548" t="s">
        <v>1976</v>
      </c>
      <c r="F966" s="548" t="s">
        <v>1986</v>
      </c>
      <c r="G966" s="549" t="s">
        <v>1978</v>
      </c>
      <c r="H966" s="548" t="s">
        <v>1987</v>
      </c>
      <c r="I966" s="548" t="s">
        <v>1796</v>
      </c>
      <c r="J966" s="575" t="s">
        <v>1594</v>
      </c>
      <c r="K966" s="580">
        <v>13086.2</v>
      </c>
      <c r="L966" s="580">
        <v>53.501600000000003</v>
      </c>
      <c r="M966" s="552">
        <f t="shared" si="77"/>
        <v>244.59455418155719</v>
      </c>
      <c r="N966" s="526">
        <v>60</v>
      </c>
      <c r="O966" s="563">
        <f t="shared" si="73"/>
        <v>218.10333333333335</v>
      </c>
      <c r="P966" s="564">
        <f t="shared" ca="1" si="74"/>
        <v>33</v>
      </c>
      <c r="Q966" s="552">
        <f t="shared" ca="1" si="78"/>
        <v>5888.79</v>
      </c>
      <c r="R966" s="563">
        <f t="shared" ca="1" si="76"/>
        <v>5888.79</v>
      </c>
      <c r="S966" s="565" t="s">
        <v>1103</v>
      </c>
    </row>
    <row r="967" spans="2:19" ht="60" customHeight="1" x14ac:dyDescent="0.25">
      <c r="B967" s="861">
        <v>44853</v>
      </c>
      <c r="C967" s="583" t="s">
        <v>2349</v>
      </c>
      <c r="D967" s="583"/>
      <c r="E967" s="548" t="s">
        <v>1976</v>
      </c>
      <c r="F967" s="548" t="s">
        <v>1988</v>
      </c>
      <c r="G967" s="549" t="s">
        <v>1978</v>
      </c>
      <c r="H967" s="548" t="s">
        <v>1989</v>
      </c>
      <c r="I967" s="548" t="s">
        <v>1796</v>
      </c>
      <c r="J967" s="575" t="s">
        <v>1594</v>
      </c>
      <c r="K967" s="580">
        <v>13086.2</v>
      </c>
      <c r="L967" s="580">
        <v>53.501600000000003</v>
      </c>
      <c r="M967" s="552">
        <f t="shared" si="77"/>
        <v>244.59455418155719</v>
      </c>
      <c r="N967" s="526">
        <v>60</v>
      </c>
      <c r="O967" s="563">
        <f t="shared" si="73"/>
        <v>218.10333333333335</v>
      </c>
      <c r="P967" s="564">
        <f t="shared" ca="1" si="74"/>
        <v>33</v>
      </c>
      <c r="Q967" s="552">
        <f t="shared" ca="1" si="78"/>
        <v>5888.79</v>
      </c>
      <c r="R967" s="563">
        <f t="shared" ca="1" si="76"/>
        <v>5888.79</v>
      </c>
      <c r="S967" s="565" t="s">
        <v>1103</v>
      </c>
    </row>
    <row r="968" spans="2:19" ht="60" customHeight="1" x14ac:dyDescent="0.25">
      <c r="B968" s="861">
        <v>44853</v>
      </c>
      <c r="C968" s="583" t="s">
        <v>2349</v>
      </c>
      <c r="D968" s="583"/>
      <c r="E968" s="548" t="s">
        <v>1976</v>
      </c>
      <c r="F968" s="548" t="s">
        <v>1990</v>
      </c>
      <c r="G968" s="549" t="s">
        <v>1978</v>
      </c>
      <c r="H968" s="548" t="s">
        <v>1991</v>
      </c>
      <c r="I968" s="548" t="s">
        <v>1796</v>
      </c>
      <c r="J968" s="575" t="s">
        <v>1594</v>
      </c>
      <c r="K968" s="580">
        <v>13086.2</v>
      </c>
      <c r="L968" s="580">
        <v>53.501600000000003</v>
      </c>
      <c r="M968" s="552">
        <f t="shared" si="77"/>
        <v>244.59455418155719</v>
      </c>
      <c r="N968" s="526">
        <v>60</v>
      </c>
      <c r="O968" s="563">
        <f t="shared" ref="O968:O1031" si="79">IF(AND(K968&lt;&gt;0,N968&lt;&gt;0),K968/N968,0)</f>
        <v>218.10333333333335</v>
      </c>
      <c r="P968" s="564">
        <f t="shared" ref="P968:P1031" ca="1" si="80">IF(B968&lt;&gt;0,(ROUND((NOW()-B968)/30,0)),0)</f>
        <v>33</v>
      </c>
      <c r="Q968" s="552">
        <f t="shared" ca="1" si="78"/>
        <v>5888.79</v>
      </c>
      <c r="R968" s="563">
        <f t="shared" ref="R968:R1031" ca="1" si="81">IF(Q968&lt;1,1,Q968)</f>
        <v>5888.79</v>
      </c>
      <c r="S968" s="565" t="s">
        <v>1103</v>
      </c>
    </row>
    <row r="969" spans="2:19" ht="60" customHeight="1" x14ac:dyDescent="0.25">
      <c r="B969" s="861">
        <v>44853</v>
      </c>
      <c r="C969" s="583" t="s">
        <v>2349</v>
      </c>
      <c r="D969" s="583"/>
      <c r="E969" s="548" t="s">
        <v>1976</v>
      </c>
      <c r="F969" s="548" t="s">
        <v>1992</v>
      </c>
      <c r="G969" s="549" t="s">
        <v>1978</v>
      </c>
      <c r="H969" s="548" t="s">
        <v>1993</v>
      </c>
      <c r="I969" s="548" t="s">
        <v>1796</v>
      </c>
      <c r="J969" s="575" t="s">
        <v>1594</v>
      </c>
      <c r="K969" s="580">
        <v>13086.2</v>
      </c>
      <c r="L969" s="580">
        <v>53.501600000000003</v>
      </c>
      <c r="M969" s="552">
        <f t="shared" si="77"/>
        <v>244.59455418155719</v>
      </c>
      <c r="N969" s="526">
        <v>60</v>
      </c>
      <c r="O969" s="563">
        <f t="shared" si="79"/>
        <v>218.10333333333335</v>
      </c>
      <c r="P969" s="564">
        <f t="shared" ca="1" si="80"/>
        <v>33</v>
      </c>
      <c r="Q969" s="552">
        <f t="shared" ca="1" si="78"/>
        <v>5888.79</v>
      </c>
      <c r="R969" s="563">
        <f t="shared" ca="1" si="81"/>
        <v>5888.79</v>
      </c>
      <c r="S969" s="565" t="s">
        <v>1103</v>
      </c>
    </row>
    <row r="970" spans="2:19" ht="60" customHeight="1" x14ac:dyDescent="0.25">
      <c r="B970" s="861">
        <v>44853</v>
      </c>
      <c r="C970" s="583" t="s">
        <v>2349</v>
      </c>
      <c r="D970" s="583"/>
      <c r="E970" s="548" t="s">
        <v>1976</v>
      </c>
      <c r="F970" s="548" t="s">
        <v>1994</v>
      </c>
      <c r="G970" s="549" t="s">
        <v>1978</v>
      </c>
      <c r="H970" s="548" t="s">
        <v>1995</v>
      </c>
      <c r="I970" s="548" t="s">
        <v>1796</v>
      </c>
      <c r="J970" s="575" t="s">
        <v>1594</v>
      </c>
      <c r="K970" s="580">
        <v>13086.2</v>
      </c>
      <c r="L970" s="580">
        <v>53.501600000000003</v>
      </c>
      <c r="M970" s="552">
        <f t="shared" si="77"/>
        <v>244.59455418155719</v>
      </c>
      <c r="N970" s="526">
        <v>60</v>
      </c>
      <c r="O970" s="563">
        <f t="shared" si="79"/>
        <v>218.10333333333335</v>
      </c>
      <c r="P970" s="564">
        <f t="shared" ca="1" si="80"/>
        <v>33</v>
      </c>
      <c r="Q970" s="552">
        <f t="shared" ca="1" si="78"/>
        <v>5888.79</v>
      </c>
      <c r="R970" s="563">
        <f t="shared" ca="1" si="81"/>
        <v>5888.79</v>
      </c>
      <c r="S970" s="565" t="s">
        <v>1103</v>
      </c>
    </row>
    <row r="971" spans="2:19" ht="60" customHeight="1" x14ac:dyDescent="0.25">
      <c r="B971" s="861">
        <v>44853</v>
      </c>
      <c r="C971" s="583" t="s">
        <v>2349</v>
      </c>
      <c r="D971" s="583"/>
      <c r="E971" s="548" t="s">
        <v>1976</v>
      </c>
      <c r="F971" s="548" t="s">
        <v>1996</v>
      </c>
      <c r="G971" s="549" t="s">
        <v>1978</v>
      </c>
      <c r="H971" s="548" t="s">
        <v>1997</v>
      </c>
      <c r="I971" s="548" t="s">
        <v>1796</v>
      </c>
      <c r="J971" s="575" t="s">
        <v>1594</v>
      </c>
      <c r="K971" s="580">
        <v>13086.2</v>
      </c>
      <c r="L971" s="580">
        <v>53.501600000000003</v>
      </c>
      <c r="M971" s="552">
        <f t="shared" si="77"/>
        <v>244.59455418155719</v>
      </c>
      <c r="N971" s="526">
        <v>60</v>
      </c>
      <c r="O971" s="563">
        <f t="shared" si="79"/>
        <v>218.10333333333335</v>
      </c>
      <c r="P971" s="564">
        <f t="shared" ca="1" si="80"/>
        <v>33</v>
      </c>
      <c r="Q971" s="552">
        <f t="shared" ca="1" si="78"/>
        <v>5888.79</v>
      </c>
      <c r="R971" s="563">
        <f t="shared" ca="1" si="81"/>
        <v>5888.79</v>
      </c>
      <c r="S971" s="565" t="s">
        <v>1103</v>
      </c>
    </row>
    <row r="972" spans="2:19" ht="60" customHeight="1" x14ac:dyDescent="0.25">
      <c r="B972" s="861">
        <v>44853</v>
      </c>
      <c r="C972" s="583" t="s">
        <v>2349</v>
      </c>
      <c r="D972" s="583"/>
      <c r="E972" s="548" t="s">
        <v>1976</v>
      </c>
      <c r="F972" s="548" t="s">
        <v>2019</v>
      </c>
      <c r="G972" s="549" t="s">
        <v>1798</v>
      </c>
      <c r="H972" s="548" t="s">
        <v>2020</v>
      </c>
      <c r="I972" s="548" t="s">
        <v>1796</v>
      </c>
      <c r="J972" s="575" t="s">
        <v>1594</v>
      </c>
      <c r="K972" s="580">
        <v>66039.88</v>
      </c>
      <c r="L972" s="580">
        <v>53.501600000000003</v>
      </c>
      <c r="M972" s="552">
        <f t="shared" si="77"/>
        <v>1234.3533651330054</v>
      </c>
      <c r="N972" s="526">
        <v>60</v>
      </c>
      <c r="O972" s="563">
        <f t="shared" si="79"/>
        <v>1100.6646666666668</v>
      </c>
      <c r="P972" s="564">
        <f t="shared" ca="1" si="80"/>
        <v>33</v>
      </c>
      <c r="Q972" s="552">
        <f t="shared" ca="1" si="78"/>
        <v>29717.946000000004</v>
      </c>
      <c r="R972" s="563">
        <f t="shared" ca="1" si="81"/>
        <v>29717.946000000004</v>
      </c>
      <c r="S972" s="565" t="s">
        <v>1103</v>
      </c>
    </row>
    <row r="973" spans="2:19" ht="60" customHeight="1" x14ac:dyDescent="0.25">
      <c r="B973" s="861">
        <v>44853</v>
      </c>
      <c r="C973" s="583" t="s">
        <v>2349</v>
      </c>
      <c r="D973" s="583"/>
      <c r="E973" s="548" t="s">
        <v>1976</v>
      </c>
      <c r="F973" s="548" t="s">
        <v>2021</v>
      </c>
      <c r="G973" s="549" t="s">
        <v>1798</v>
      </c>
      <c r="H973" s="548" t="s">
        <v>2022</v>
      </c>
      <c r="I973" s="548" t="s">
        <v>1796</v>
      </c>
      <c r="J973" s="575" t="s">
        <v>1594</v>
      </c>
      <c r="K973" s="580">
        <v>66039.88</v>
      </c>
      <c r="L973" s="580">
        <v>53.501600000000003</v>
      </c>
      <c r="M973" s="552">
        <f t="shared" si="77"/>
        <v>1234.3533651330054</v>
      </c>
      <c r="N973" s="526">
        <v>60</v>
      </c>
      <c r="O973" s="563">
        <f t="shared" si="79"/>
        <v>1100.6646666666668</v>
      </c>
      <c r="P973" s="564">
        <f t="shared" ca="1" si="80"/>
        <v>33</v>
      </c>
      <c r="Q973" s="552">
        <f t="shared" ca="1" si="78"/>
        <v>29717.946000000004</v>
      </c>
      <c r="R973" s="563">
        <f t="shared" ca="1" si="81"/>
        <v>29717.946000000004</v>
      </c>
      <c r="S973" s="565" t="s">
        <v>1103</v>
      </c>
    </row>
    <row r="974" spans="2:19" ht="60" customHeight="1" x14ac:dyDescent="0.25">
      <c r="B974" s="861">
        <v>44853</v>
      </c>
      <c r="C974" s="583" t="s">
        <v>2349</v>
      </c>
      <c r="D974" s="583"/>
      <c r="E974" s="548" t="s">
        <v>1976</v>
      </c>
      <c r="F974" s="548" t="s">
        <v>2023</v>
      </c>
      <c r="G974" s="549" t="s">
        <v>1798</v>
      </c>
      <c r="H974" s="548" t="s">
        <v>2024</v>
      </c>
      <c r="I974" s="548" t="s">
        <v>1796</v>
      </c>
      <c r="J974" s="575" t="s">
        <v>1594</v>
      </c>
      <c r="K974" s="580">
        <v>66039.88</v>
      </c>
      <c r="L974" s="580">
        <v>53.501600000000003</v>
      </c>
      <c r="M974" s="552">
        <f t="shared" ref="M974:M1037" si="82">+K974/L974</f>
        <v>1234.3533651330054</v>
      </c>
      <c r="N974" s="526">
        <v>60</v>
      </c>
      <c r="O974" s="563">
        <f t="shared" si="79"/>
        <v>1100.6646666666668</v>
      </c>
      <c r="P974" s="564">
        <f t="shared" ca="1" si="80"/>
        <v>33</v>
      </c>
      <c r="Q974" s="552">
        <f t="shared" ca="1" si="78"/>
        <v>29717.946000000004</v>
      </c>
      <c r="R974" s="563">
        <f t="shared" ca="1" si="81"/>
        <v>29717.946000000004</v>
      </c>
      <c r="S974" s="565" t="s">
        <v>1103</v>
      </c>
    </row>
    <row r="975" spans="2:19" ht="60" customHeight="1" x14ac:dyDescent="0.25">
      <c r="B975" s="861">
        <v>44853</v>
      </c>
      <c r="C975" s="583" t="s">
        <v>2349</v>
      </c>
      <c r="D975" s="583"/>
      <c r="E975" s="548" t="s">
        <v>1976</v>
      </c>
      <c r="F975" s="548" t="s">
        <v>2025</v>
      </c>
      <c r="G975" s="549" t="s">
        <v>1798</v>
      </c>
      <c r="H975" s="548" t="s">
        <v>2026</v>
      </c>
      <c r="I975" s="548" t="s">
        <v>1796</v>
      </c>
      <c r="J975" s="575" t="s">
        <v>1594</v>
      </c>
      <c r="K975" s="580">
        <v>66039.88</v>
      </c>
      <c r="L975" s="580">
        <v>53.501600000000003</v>
      </c>
      <c r="M975" s="552">
        <f t="shared" si="82"/>
        <v>1234.3533651330054</v>
      </c>
      <c r="N975" s="526">
        <v>60</v>
      </c>
      <c r="O975" s="563">
        <f t="shared" si="79"/>
        <v>1100.6646666666668</v>
      </c>
      <c r="P975" s="564">
        <f t="shared" ca="1" si="80"/>
        <v>33</v>
      </c>
      <c r="Q975" s="552">
        <f t="shared" ca="1" si="78"/>
        <v>29717.946000000004</v>
      </c>
      <c r="R975" s="563">
        <f t="shared" ca="1" si="81"/>
        <v>29717.946000000004</v>
      </c>
      <c r="S975" s="565" t="s">
        <v>1103</v>
      </c>
    </row>
    <row r="976" spans="2:19" ht="60" customHeight="1" x14ac:dyDescent="0.25">
      <c r="B976" s="861">
        <v>44853</v>
      </c>
      <c r="C976" s="583" t="s">
        <v>2349</v>
      </c>
      <c r="D976" s="583"/>
      <c r="E976" s="548" t="s">
        <v>1976</v>
      </c>
      <c r="F976" s="548" t="s">
        <v>2027</v>
      </c>
      <c r="G976" s="549" t="s">
        <v>1798</v>
      </c>
      <c r="H976" s="548" t="s">
        <v>2028</v>
      </c>
      <c r="I976" s="548" t="s">
        <v>1796</v>
      </c>
      <c r="J976" s="575" t="s">
        <v>1594</v>
      </c>
      <c r="K976" s="580">
        <v>66039.88</v>
      </c>
      <c r="L976" s="580">
        <v>53.501600000000003</v>
      </c>
      <c r="M976" s="552">
        <f t="shared" si="82"/>
        <v>1234.3533651330054</v>
      </c>
      <c r="N976" s="526">
        <v>60</v>
      </c>
      <c r="O976" s="563">
        <f t="shared" si="79"/>
        <v>1100.6646666666668</v>
      </c>
      <c r="P976" s="564">
        <f t="shared" ca="1" si="80"/>
        <v>33</v>
      </c>
      <c r="Q976" s="552">
        <f t="shared" ca="1" si="78"/>
        <v>29717.946000000004</v>
      </c>
      <c r="R976" s="563">
        <f t="shared" ca="1" si="81"/>
        <v>29717.946000000004</v>
      </c>
      <c r="S976" s="565" t="s">
        <v>1103</v>
      </c>
    </row>
    <row r="977" spans="1:19" ht="60" customHeight="1" x14ac:dyDescent="0.25">
      <c r="B977" s="861">
        <v>44853</v>
      </c>
      <c r="C977" s="583" t="s">
        <v>2349</v>
      </c>
      <c r="D977" s="583"/>
      <c r="E977" s="548" t="s">
        <v>1976</v>
      </c>
      <c r="F977" s="548" t="s">
        <v>2029</v>
      </c>
      <c r="G977" s="549" t="s">
        <v>1798</v>
      </c>
      <c r="H977" s="548" t="s">
        <v>2030</v>
      </c>
      <c r="I977" s="548" t="s">
        <v>1796</v>
      </c>
      <c r="J977" s="575" t="s">
        <v>1594</v>
      </c>
      <c r="K977" s="580">
        <v>66039.88</v>
      </c>
      <c r="L977" s="580">
        <v>53.501600000000003</v>
      </c>
      <c r="M977" s="552">
        <f t="shared" si="82"/>
        <v>1234.3533651330054</v>
      </c>
      <c r="N977" s="526">
        <v>60</v>
      </c>
      <c r="O977" s="563">
        <f t="shared" si="79"/>
        <v>1100.6646666666668</v>
      </c>
      <c r="P977" s="564">
        <f t="shared" ca="1" si="80"/>
        <v>33</v>
      </c>
      <c r="Q977" s="552">
        <f t="shared" ca="1" si="78"/>
        <v>29717.946000000004</v>
      </c>
      <c r="R977" s="563">
        <f t="shared" ca="1" si="81"/>
        <v>29717.946000000004</v>
      </c>
      <c r="S977" s="565" t="s">
        <v>1103</v>
      </c>
    </row>
    <row r="978" spans="1:19" ht="60" customHeight="1" x14ac:dyDescent="0.25">
      <c r="B978" s="861">
        <v>44853</v>
      </c>
      <c r="C978" s="583" t="s">
        <v>2349</v>
      </c>
      <c r="D978" s="583"/>
      <c r="E978" s="548" t="s">
        <v>1976</v>
      </c>
      <c r="F978" s="548" t="s">
        <v>2031</v>
      </c>
      <c r="G978" s="549" t="s">
        <v>1798</v>
      </c>
      <c r="H978" s="548" t="s">
        <v>2032</v>
      </c>
      <c r="I978" s="548" t="s">
        <v>1796</v>
      </c>
      <c r="J978" s="575" t="s">
        <v>1594</v>
      </c>
      <c r="K978" s="580">
        <v>66039.88</v>
      </c>
      <c r="L978" s="580">
        <v>53.501600000000003</v>
      </c>
      <c r="M978" s="552">
        <f t="shared" si="82"/>
        <v>1234.3533651330054</v>
      </c>
      <c r="N978" s="526">
        <v>60</v>
      </c>
      <c r="O978" s="563">
        <f t="shared" si="79"/>
        <v>1100.6646666666668</v>
      </c>
      <c r="P978" s="564">
        <f t="shared" ca="1" si="80"/>
        <v>33</v>
      </c>
      <c r="Q978" s="552">
        <f t="shared" ca="1" si="78"/>
        <v>29717.946000000004</v>
      </c>
      <c r="R978" s="563">
        <f t="shared" ca="1" si="81"/>
        <v>29717.946000000004</v>
      </c>
      <c r="S978" s="565" t="s">
        <v>1103</v>
      </c>
    </row>
    <row r="979" spans="1:19" ht="60" customHeight="1" x14ac:dyDescent="0.25">
      <c r="B979" s="861">
        <v>44853</v>
      </c>
      <c r="C979" s="583" t="s">
        <v>2349</v>
      </c>
      <c r="D979" s="583"/>
      <c r="E979" s="548" t="s">
        <v>1976</v>
      </c>
      <c r="F979" s="548" t="s">
        <v>2033</v>
      </c>
      <c r="G979" s="549" t="s">
        <v>1798</v>
      </c>
      <c r="H979" s="548" t="s">
        <v>2034</v>
      </c>
      <c r="I979" s="548" t="s">
        <v>1796</v>
      </c>
      <c r="J979" s="575" t="s">
        <v>1594</v>
      </c>
      <c r="K979" s="580">
        <v>66039.88</v>
      </c>
      <c r="L979" s="580">
        <v>53.501600000000003</v>
      </c>
      <c r="M979" s="552">
        <f t="shared" si="82"/>
        <v>1234.3533651330054</v>
      </c>
      <c r="N979" s="526">
        <v>60</v>
      </c>
      <c r="O979" s="563">
        <f t="shared" si="79"/>
        <v>1100.6646666666668</v>
      </c>
      <c r="P979" s="564">
        <f t="shared" ca="1" si="80"/>
        <v>33</v>
      </c>
      <c r="Q979" s="552">
        <f t="shared" ca="1" si="78"/>
        <v>29717.946000000004</v>
      </c>
      <c r="R979" s="563">
        <f t="shared" ca="1" si="81"/>
        <v>29717.946000000004</v>
      </c>
      <c r="S979" s="565" t="s">
        <v>1103</v>
      </c>
    </row>
    <row r="980" spans="1:19" ht="60" customHeight="1" x14ac:dyDescent="0.25">
      <c r="B980" s="861">
        <v>44853</v>
      </c>
      <c r="C980" s="583" t="s">
        <v>2349</v>
      </c>
      <c r="D980" s="583"/>
      <c r="E980" s="548" t="s">
        <v>1976</v>
      </c>
      <c r="F980" s="548" t="s">
        <v>2035</v>
      </c>
      <c r="G980" s="549" t="s">
        <v>1798</v>
      </c>
      <c r="H980" s="548" t="s">
        <v>2036</v>
      </c>
      <c r="I980" s="548" t="s">
        <v>1796</v>
      </c>
      <c r="J980" s="575" t="s">
        <v>1594</v>
      </c>
      <c r="K980" s="580">
        <v>66039.88</v>
      </c>
      <c r="L980" s="580">
        <v>53.501600000000003</v>
      </c>
      <c r="M980" s="552">
        <f t="shared" si="82"/>
        <v>1234.3533651330054</v>
      </c>
      <c r="N980" s="526">
        <v>60</v>
      </c>
      <c r="O980" s="563">
        <f t="shared" si="79"/>
        <v>1100.6646666666668</v>
      </c>
      <c r="P980" s="564">
        <f t="shared" ca="1" si="80"/>
        <v>33</v>
      </c>
      <c r="Q980" s="552">
        <f t="shared" ca="1" si="78"/>
        <v>29717.946000000004</v>
      </c>
      <c r="R980" s="563">
        <f t="shared" ca="1" si="81"/>
        <v>29717.946000000004</v>
      </c>
      <c r="S980" s="565" t="s">
        <v>1103</v>
      </c>
    </row>
    <row r="981" spans="1:19" ht="69" customHeight="1" x14ac:dyDescent="0.25">
      <c r="B981" s="861">
        <v>44853</v>
      </c>
      <c r="C981" s="583" t="s">
        <v>2349</v>
      </c>
      <c r="D981" s="583"/>
      <c r="E981" s="548" t="s">
        <v>1976</v>
      </c>
      <c r="F981" s="548" t="s">
        <v>2037</v>
      </c>
      <c r="G981" s="549" t="s">
        <v>1798</v>
      </c>
      <c r="H981" s="548" t="s">
        <v>2038</v>
      </c>
      <c r="I981" s="548" t="s">
        <v>1796</v>
      </c>
      <c r="J981" s="575" t="s">
        <v>1594</v>
      </c>
      <c r="K981" s="580">
        <v>66039.88</v>
      </c>
      <c r="L981" s="580">
        <v>53.501600000000003</v>
      </c>
      <c r="M981" s="552">
        <f t="shared" si="82"/>
        <v>1234.3533651330054</v>
      </c>
      <c r="N981" s="526">
        <v>60</v>
      </c>
      <c r="O981" s="563">
        <f t="shared" si="79"/>
        <v>1100.6646666666668</v>
      </c>
      <c r="P981" s="564">
        <f t="shared" ca="1" si="80"/>
        <v>33</v>
      </c>
      <c r="Q981" s="552">
        <f t="shared" ca="1" si="78"/>
        <v>29717.946000000004</v>
      </c>
      <c r="R981" s="563">
        <f t="shared" ca="1" si="81"/>
        <v>29717.946000000004</v>
      </c>
      <c r="S981" s="565" t="s">
        <v>1103</v>
      </c>
    </row>
    <row r="982" spans="1:19" ht="50.1" customHeight="1" x14ac:dyDescent="0.25">
      <c r="B982" s="861">
        <v>44883</v>
      </c>
      <c r="C982" s="583" t="s">
        <v>2349</v>
      </c>
      <c r="D982" s="583"/>
      <c r="E982" s="548" t="s">
        <v>2039</v>
      </c>
      <c r="F982" s="548" t="s">
        <v>2040</v>
      </c>
      <c r="G982" s="549" t="s">
        <v>2041</v>
      </c>
      <c r="H982" s="584">
        <v>202205061512</v>
      </c>
      <c r="I982" s="548" t="s">
        <v>1796</v>
      </c>
      <c r="J982" s="575" t="s">
        <v>1594</v>
      </c>
      <c r="K982" s="580">
        <v>4956</v>
      </c>
      <c r="L982" s="580">
        <v>54.383499999999998</v>
      </c>
      <c r="M982" s="552">
        <f t="shared" si="82"/>
        <v>91.130581886049995</v>
      </c>
      <c r="N982" s="526">
        <v>60</v>
      </c>
      <c r="O982" s="563">
        <f t="shared" si="79"/>
        <v>82.6</v>
      </c>
      <c r="P982" s="564">
        <f t="shared" ca="1" si="80"/>
        <v>32</v>
      </c>
      <c r="Q982" s="552">
        <f t="shared" ca="1" si="78"/>
        <v>2312.8000000000002</v>
      </c>
      <c r="R982" s="563">
        <f t="shared" ca="1" si="81"/>
        <v>2312.8000000000002</v>
      </c>
      <c r="S982" s="565" t="s">
        <v>2042</v>
      </c>
    </row>
    <row r="983" spans="1:19" ht="50.1" customHeight="1" x14ac:dyDescent="0.25">
      <c r="B983" s="861">
        <v>44883</v>
      </c>
      <c r="C983" s="583" t="s">
        <v>2349</v>
      </c>
      <c r="D983" s="583"/>
      <c r="E983" s="548" t="s">
        <v>2039</v>
      </c>
      <c r="F983" s="548" t="s">
        <v>2043</v>
      </c>
      <c r="G983" s="549" t="s">
        <v>2041</v>
      </c>
      <c r="H983" s="584">
        <v>202205061028</v>
      </c>
      <c r="I983" s="548" t="s">
        <v>1796</v>
      </c>
      <c r="J983" s="575" t="s">
        <v>1594</v>
      </c>
      <c r="K983" s="580">
        <v>4956</v>
      </c>
      <c r="L983" s="580">
        <v>54.383499999999998</v>
      </c>
      <c r="M983" s="552">
        <f t="shared" si="82"/>
        <v>91.130581886049995</v>
      </c>
      <c r="N983" s="526">
        <v>60</v>
      </c>
      <c r="O983" s="563">
        <f t="shared" si="79"/>
        <v>82.6</v>
      </c>
      <c r="P983" s="564">
        <f t="shared" ca="1" si="80"/>
        <v>32</v>
      </c>
      <c r="Q983" s="552">
        <f t="shared" ca="1" si="78"/>
        <v>2312.8000000000002</v>
      </c>
      <c r="R983" s="563">
        <f t="shared" ca="1" si="81"/>
        <v>2312.8000000000002</v>
      </c>
      <c r="S983" s="565" t="s">
        <v>2042</v>
      </c>
    </row>
    <row r="984" spans="1:19" ht="50.1" customHeight="1" x14ac:dyDescent="0.25">
      <c r="B984" s="861">
        <v>44883</v>
      </c>
      <c r="C984" s="583" t="s">
        <v>2349</v>
      </c>
      <c r="D984" s="583"/>
      <c r="E984" s="548" t="s">
        <v>2039</v>
      </c>
      <c r="F984" s="548" t="s">
        <v>2044</v>
      </c>
      <c r="G984" s="549" t="s">
        <v>2041</v>
      </c>
      <c r="H984" s="584">
        <v>202205061485</v>
      </c>
      <c r="I984" s="548" t="s">
        <v>1796</v>
      </c>
      <c r="J984" s="575" t="s">
        <v>1594</v>
      </c>
      <c r="K984" s="580">
        <v>4956</v>
      </c>
      <c r="L984" s="580">
        <v>54.383499999999998</v>
      </c>
      <c r="M984" s="552">
        <f t="shared" si="82"/>
        <v>91.130581886049995</v>
      </c>
      <c r="N984" s="526">
        <v>60</v>
      </c>
      <c r="O984" s="563">
        <f t="shared" si="79"/>
        <v>82.6</v>
      </c>
      <c r="P984" s="564">
        <f t="shared" ca="1" si="80"/>
        <v>32</v>
      </c>
      <c r="Q984" s="552">
        <f t="shared" ca="1" si="78"/>
        <v>2312.8000000000002</v>
      </c>
      <c r="R984" s="563">
        <f t="shared" ca="1" si="81"/>
        <v>2312.8000000000002</v>
      </c>
      <c r="S984" s="565" t="s">
        <v>2042</v>
      </c>
    </row>
    <row r="985" spans="1:19" ht="50.1" customHeight="1" x14ac:dyDescent="0.25">
      <c r="B985" s="861">
        <v>44883</v>
      </c>
      <c r="C985" s="583" t="s">
        <v>2349</v>
      </c>
      <c r="D985" s="583"/>
      <c r="E985" s="548" t="s">
        <v>2039</v>
      </c>
      <c r="F985" s="548" t="s">
        <v>2045</v>
      </c>
      <c r="G985" s="549" t="s">
        <v>2041</v>
      </c>
      <c r="H985" s="584">
        <v>202205061046</v>
      </c>
      <c r="I985" s="548" t="s">
        <v>1796</v>
      </c>
      <c r="J985" s="575" t="s">
        <v>1594</v>
      </c>
      <c r="K985" s="580">
        <v>4956</v>
      </c>
      <c r="L985" s="580">
        <v>54.383499999999998</v>
      </c>
      <c r="M985" s="552">
        <f t="shared" si="82"/>
        <v>91.130581886049995</v>
      </c>
      <c r="N985" s="526">
        <v>60</v>
      </c>
      <c r="O985" s="563">
        <f t="shared" si="79"/>
        <v>82.6</v>
      </c>
      <c r="P985" s="564">
        <f t="shared" ca="1" si="80"/>
        <v>32</v>
      </c>
      <c r="Q985" s="552">
        <f t="shared" ca="1" si="78"/>
        <v>2312.8000000000002</v>
      </c>
      <c r="R985" s="563">
        <f t="shared" ca="1" si="81"/>
        <v>2312.8000000000002</v>
      </c>
      <c r="S985" s="565" t="s">
        <v>2042</v>
      </c>
    </row>
    <row r="986" spans="1:19" ht="50.1" customHeight="1" x14ac:dyDescent="0.25">
      <c r="B986" s="861">
        <v>44883</v>
      </c>
      <c r="C986" s="583" t="s">
        <v>2349</v>
      </c>
      <c r="D986" s="583"/>
      <c r="E986" s="548" t="s">
        <v>2039</v>
      </c>
      <c r="F986" s="548" t="s">
        <v>2046</v>
      </c>
      <c r="G986" s="549" t="s">
        <v>2041</v>
      </c>
      <c r="H986" s="584">
        <v>202205061500</v>
      </c>
      <c r="I986" s="548" t="s">
        <v>1796</v>
      </c>
      <c r="J986" s="575" t="s">
        <v>1594</v>
      </c>
      <c r="K986" s="580">
        <v>4956</v>
      </c>
      <c r="L986" s="580">
        <v>54.383499999999998</v>
      </c>
      <c r="M986" s="552">
        <f t="shared" si="82"/>
        <v>91.130581886049995</v>
      </c>
      <c r="N986" s="526">
        <v>60</v>
      </c>
      <c r="O986" s="563">
        <f t="shared" si="79"/>
        <v>82.6</v>
      </c>
      <c r="P986" s="564">
        <f t="shared" ca="1" si="80"/>
        <v>32</v>
      </c>
      <c r="Q986" s="552">
        <f t="shared" ca="1" si="78"/>
        <v>2312.8000000000002</v>
      </c>
      <c r="R986" s="563">
        <f t="shared" ca="1" si="81"/>
        <v>2312.8000000000002</v>
      </c>
      <c r="S986" s="565" t="s">
        <v>2042</v>
      </c>
    </row>
    <row r="987" spans="1:19" ht="35.1" customHeight="1" x14ac:dyDescent="0.25">
      <c r="B987" s="861">
        <v>44883</v>
      </c>
      <c r="C987" s="583" t="s">
        <v>2349</v>
      </c>
      <c r="D987" s="583"/>
      <c r="E987" s="548" t="s">
        <v>2039</v>
      </c>
      <c r="F987" s="548" t="s">
        <v>2047</v>
      </c>
      <c r="G987" s="549" t="s">
        <v>2041</v>
      </c>
      <c r="H987" s="584">
        <v>202205061476</v>
      </c>
      <c r="I987" s="548" t="s">
        <v>1796</v>
      </c>
      <c r="J987" s="575" t="s">
        <v>1594</v>
      </c>
      <c r="K987" s="580">
        <v>4956</v>
      </c>
      <c r="L987" s="580">
        <v>54.383499999999998</v>
      </c>
      <c r="M987" s="552">
        <f t="shared" si="82"/>
        <v>91.130581886049995</v>
      </c>
      <c r="N987" s="526">
        <v>60</v>
      </c>
      <c r="O987" s="563">
        <f t="shared" si="79"/>
        <v>82.6</v>
      </c>
      <c r="P987" s="564">
        <f t="shared" ca="1" si="80"/>
        <v>32</v>
      </c>
      <c r="Q987" s="552">
        <f t="shared" ca="1" si="78"/>
        <v>2312.8000000000002</v>
      </c>
      <c r="R987" s="563">
        <f t="shared" ca="1" si="81"/>
        <v>2312.8000000000002</v>
      </c>
      <c r="S987" s="565" t="s">
        <v>2042</v>
      </c>
    </row>
    <row r="988" spans="1:19" ht="35.1" customHeight="1" x14ac:dyDescent="0.25">
      <c r="A988" s="345" t="s">
        <v>2048</v>
      </c>
      <c r="B988" s="861">
        <v>44883</v>
      </c>
      <c r="C988" s="583" t="s">
        <v>2349</v>
      </c>
      <c r="D988" s="583"/>
      <c r="E988" s="548" t="s">
        <v>2039</v>
      </c>
      <c r="F988" s="548" t="s">
        <v>2049</v>
      </c>
      <c r="G988" s="549" t="s">
        <v>2041</v>
      </c>
      <c r="H988" s="584">
        <v>202205061492</v>
      </c>
      <c r="I988" s="548" t="s">
        <v>1796</v>
      </c>
      <c r="J988" s="575" t="s">
        <v>1594</v>
      </c>
      <c r="K988" s="580">
        <v>4956</v>
      </c>
      <c r="L988" s="580">
        <v>54.383499999999998</v>
      </c>
      <c r="M988" s="552">
        <f t="shared" si="82"/>
        <v>91.130581886049995</v>
      </c>
      <c r="N988" s="526">
        <v>60</v>
      </c>
      <c r="O988" s="563">
        <f t="shared" si="79"/>
        <v>82.6</v>
      </c>
      <c r="P988" s="564">
        <f t="shared" ca="1" si="80"/>
        <v>32</v>
      </c>
      <c r="Q988" s="552">
        <f t="shared" ca="1" si="78"/>
        <v>2312.8000000000002</v>
      </c>
      <c r="R988" s="563">
        <f t="shared" ca="1" si="81"/>
        <v>2312.8000000000002</v>
      </c>
      <c r="S988" s="565" t="s">
        <v>2042</v>
      </c>
    </row>
    <row r="989" spans="1:19" ht="35.1" customHeight="1" x14ac:dyDescent="0.25">
      <c r="B989" s="861">
        <v>44883</v>
      </c>
      <c r="C989" s="583" t="s">
        <v>2349</v>
      </c>
      <c r="D989" s="583"/>
      <c r="E989" s="548" t="s">
        <v>2039</v>
      </c>
      <c r="F989" s="548" t="s">
        <v>2050</v>
      </c>
      <c r="G989" s="549" t="s">
        <v>2041</v>
      </c>
      <c r="H989" s="584">
        <v>202205061502</v>
      </c>
      <c r="I989" s="548" t="s">
        <v>1796</v>
      </c>
      <c r="J989" s="575" t="s">
        <v>1594</v>
      </c>
      <c r="K989" s="580">
        <v>4956</v>
      </c>
      <c r="L989" s="580">
        <v>54.383499999999998</v>
      </c>
      <c r="M989" s="552">
        <f t="shared" si="82"/>
        <v>91.130581886049995</v>
      </c>
      <c r="N989" s="526">
        <v>60</v>
      </c>
      <c r="O989" s="563">
        <f t="shared" si="79"/>
        <v>82.6</v>
      </c>
      <c r="P989" s="564">
        <f t="shared" ca="1" si="80"/>
        <v>32</v>
      </c>
      <c r="Q989" s="552">
        <f t="shared" ca="1" si="78"/>
        <v>2312.8000000000002</v>
      </c>
      <c r="R989" s="563">
        <f t="shared" ca="1" si="81"/>
        <v>2312.8000000000002</v>
      </c>
      <c r="S989" s="565" t="s">
        <v>2042</v>
      </c>
    </row>
    <row r="990" spans="1:19" ht="35.1" customHeight="1" x14ac:dyDescent="0.25">
      <c r="B990" s="861">
        <v>44883</v>
      </c>
      <c r="C990" s="583" t="s">
        <v>2349</v>
      </c>
      <c r="D990" s="583"/>
      <c r="E990" s="548" t="s">
        <v>2039</v>
      </c>
      <c r="F990" s="548" t="s">
        <v>2051</v>
      </c>
      <c r="G990" s="549" t="s">
        <v>2041</v>
      </c>
      <c r="H990" s="584">
        <v>202205061473</v>
      </c>
      <c r="I990" s="548" t="s">
        <v>1796</v>
      </c>
      <c r="J990" s="575" t="s">
        <v>1594</v>
      </c>
      <c r="K990" s="580">
        <v>4956</v>
      </c>
      <c r="L990" s="580">
        <v>54.383499999999998</v>
      </c>
      <c r="M990" s="552">
        <f t="shared" si="82"/>
        <v>91.130581886049995</v>
      </c>
      <c r="N990" s="526">
        <v>60</v>
      </c>
      <c r="O990" s="563">
        <f t="shared" si="79"/>
        <v>82.6</v>
      </c>
      <c r="P990" s="564">
        <f t="shared" ca="1" si="80"/>
        <v>32</v>
      </c>
      <c r="Q990" s="552">
        <f t="shared" ca="1" si="78"/>
        <v>2312.8000000000002</v>
      </c>
      <c r="R990" s="563">
        <f t="shared" ca="1" si="81"/>
        <v>2312.8000000000002</v>
      </c>
      <c r="S990" s="565" t="s">
        <v>2042</v>
      </c>
    </row>
    <row r="991" spans="1:19" ht="35.1" customHeight="1" x14ac:dyDescent="0.25">
      <c r="B991" s="861">
        <v>44883</v>
      </c>
      <c r="C991" s="583" t="s">
        <v>2349</v>
      </c>
      <c r="D991" s="583"/>
      <c r="E991" s="548" t="s">
        <v>2039</v>
      </c>
      <c r="F991" s="548" t="s">
        <v>2052</v>
      </c>
      <c r="G991" s="549" t="s">
        <v>2041</v>
      </c>
      <c r="H991" s="584">
        <v>202205061499</v>
      </c>
      <c r="I991" s="548" t="s">
        <v>1796</v>
      </c>
      <c r="J991" s="575" t="s">
        <v>1594</v>
      </c>
      <c r="K991" s="580">
        <v>4956</v>
      </c>
      <c r="L991" s="580">
        <v>54.383499999999998</v>
      </c>
      <c r="M991" s="552">
        <f t="shared" si="82"/>
        <v>91.130581886049995</v>
      </c>
      <c r="N991" s="526">
        <v>60</v>
      </c>
      <c r="O991" s="563">
        <f t="shared" si="79"/>
        <v>82.6</v>
      </c>
      <c r="P991" s="564">
        <f t="shared" ca="1" si="80"/>
        <v>32</v>
      </c>
      <c r="Q991" s="552">
        <f t="shared" ca="1" si="78"/>
        <v>2312.8000000000002</v>
      </c>
      <c r="R991" s="563">
        <f t="shared" ca="1" si="81"/>
        <v>2312.8000000000002</v>
      </c>
      <c r="S991" s="565" t="s">
        <v>2042</v>
      </c>
    </row>
    <row r="992" spans="1:19" ht="35.1" customHeight="1" x14ac:dyDescent="0.25">
      <c r="B992" s="861">
        <v>44883</v>
      </c>
      <c r="C992" s="583" t="s">
        <v>2349</v>
      </c>
      <c r="D992" s="583"/>
      <c r="E992" s="548" t="s">
        <v>2039</v>
      </c>
      <c r="F992" s="548" t="s">
        <v>2053</v>
      </c>
      <c r="G992" s="549" t="s">
        <v>2041</v>
      </c>
      <c r="H992" s="584">
        <v>202205061510</v>
      </c>
      <c r="I992" s="548" t="s">
        <v>1796</v>
      </c>
      <c r="J992" s="575" t="s">
        <v>1594</v>
      </c>
      <c r="K992" s="580">
        <v>4956</v>
      </c>
      <c r="L992" s="580">
        <v>54.383499999999998</v>
      </c>
      <c r="M992" s="552">
        <f t="shared" si="82"/>
        <v>91.130581886049995</v>
      </c>
      <c r="N992" s="526">
        <v>60</v>
      </c>
      <c r="O992" s="563">
        <f t="shared" si="79"/>
        <v>82.6</v>
      </c>
      <c r="P992" s="564">
        <f t="shared" ca="1" si="80"/>
        <v>32</v>
      </c>
      <c r="Q992" s="552">
        <f t="shared" ca="1" si="78"/>
        <v>2312.8000000000002</v>
      </c>
      <c r="R992" s="563">
        <f t="shared" ca="1" si="81"/>
        <v>2312.8000000000002</v>
      </c>
      <c r="S992" s="565" t="s">
        <v>2042</v>
      </c>
    </row>
    <row r="993" spans="2:19" ht="35.1" customHeight="1" x14ac:dyDescent="0.25">
      <c r="B993" s="861">
        <v>44883</v>
      </c>
      <c r="C993" s="583" t="s">
        <v>2349</v>
      </c>
      <c r="D993" s="583"/>
      <c r="E993" s="548" t="s">
        <v>2039</v>
      </c>
      <c r="F993" s="548" t="s">
        <v>2054</v>
      </c>
      <c r="G993" s="549" t="s">
        <v>2041</v>
      </c>
      <c r="H993" s="584">
        <v>202205061017</v>
      </c>
      <c r="I993" s="548" t="s">
        <v>1796</v>
      </c>
      <c r="J993" s="575" t="s">
        <v>1594</v>
      </c>
      <c r="K993" s="580">
        <v>4956</v>
      </c>
      <c r="L993" s="580">
        <v>54.383499999999998</v>
      </c>
      <c r="M993" s="552">
        <f t="shared" si="82"/>
        <v>91.130581886049995</v>
      </c>
      <c r="N993" s="526">
        <v>60</v>
      </c>
      <c r="O993" s="563">
        <f t="shared" si="79"/>
        <v>82.6</v>
      </c>
      <c r="P993" s="564">
        <f t="shared" ca="1" si="80"/>
        <v>32</v>
      </c>
      <c r="Q993" s="552">
        <f t="shared" ca="1" si="78"/>
        <v>2312.8000000000002</v>
      </c>
      <c r="R993" s="563">
        <f t="shared" ca="1" si="81"/>
        <v>2312.8000000000002</v>
      </c>
      <c r="S993" s="565" t="s">
        <v>2042</v>
      </c>
    </row>
    <row r="994" spans="2:19" ht="35.1" customHeight="1" x14ac:dyDescent="0.25">
      <c r="B994" s="861">
        <v>44883</v>
      </c>
      <c r="C994" s="583" t="s">
        <v>2349</v>
      </c>
      <c r="D994" s="583"/>
      <c r="E994" s="548" t="s">
        <v>2039</v>
      </c>
      <c r="F994" s="548" t="s">
        <v>2055</v>
      </c>
      <c r="G994" s="549" t="s">
        <v>2041</v>
      </c>
      <c r="H994" s="584">
        <v>202205061026</v>
      </c>
      <c r="I994" s="548" t="s">
        <v>1796</v>
      </c>
      <c r="J994" s="575" t="s">
        <v>1594</v>
      </c>
      <c r="K994" s="580">
        <v>4956</v>
      </c>
      <c r="L994" s="580">
        <v>54.383499999999998</v>
      </c>
      <c r="M994" s="552">
        <f t="shared" si="82"/>
        <v>91.130581886049995</v>
      </c>
      <c r="N994" s="526">
        <v>60</v>
      </c>
      <c r="O994" s="563">
        <f t="shared" si="79"/>
        <v>82.6</v>
      </c>
      <c r="P994" s="564">
        <f t="shared" ca="1" si="80"/>
        <v>32</v>
      </c>
      <c r="Q994" s="552">
        <f t="shared" ca="1" si="78"/>
        <v>2312.8000000000002</v>
      </c>
      <c r="R994" s="563">
        <f t="shared" ca="1" si="81"/>
        <v>2312.8000000000002</v>
      </c>
      <c r="S994" s="565" t="s">
        <v>2042</v>
      </c>
    </row>
    <row r="995" spans="2:19" ht="35.1" customHeight="1" x14ac:dyDescent="0.25">
      <c r="B995" s="861">
        <v>44883</v>
      </c>
      <c r="C995" s="583" t="s">
        <v>2349</v>
      </c>
      <c r="D995" s="583"/>
      <c r="E995" s="548" t="s">
        <v>2039</v>
      </c>
      <c r="F995" s="548" t="s">
        <v>2056</v>
      </c>
      <c r="G995" s="549" t="s">
        <v>2041</v>
      </c>
      <c r="H995" s="584">
        <v>202205061508</v>
      </c>
      <c r="I995" s="548" t="s">
        <v>1796</v>
      </c>
      <c r="J995" s="575" t="s">
        <v>1594</v>
      </c>
      <c r="K995" s="580">
        <v>4956</v>
      </c>
      <c r="L995" s="580">
        <v>54.383499999999998</v>
      </c>
      <c r="M995" s="552">
        <f t="shared" si="82"/>
        <v>91.130581886049995</v>
      </c>
      <c r="N995" s="526">
        <v>60</v>
      </c>
      <c r="O995" s="563">
        <f t="shared" si="79"/>
        <v>82.6</v>
      </c>
      <c r="P995" s="564">
        <f t="shared" ca="1" si="80"/>
        <v>32</v>
      </c>
      <c r="Q995" s="552">
        <f t="shared" ca="1" si="78"/>
        <v>2312.8000000000002</v>
      </c>
      <c r="R995" s="563">
        <f t="shared" ca="1" si="81"/>
        <v>2312.8000000000002</v>
      </c>
      <c r="S995" s="565" t="s">
        <v>2042</v>
      </c>
    </row>
    <row r="996" spans="2:19" ht="35.1" customHeight="1" x14ac:dyDescent="0.25">
      <c r="B996" s="861">
        <v>44883</v>
      </c>
      <c r="C996" s="583" t="s">
        <v>2349</v>
      </c>
      <c r="D996" s="583"/>
      <c r="E996" s="548" t="s">
        <v>2039</v>
      </c>
      <c r="F996" s="548" t="s">
        <v>2057</v>
      </c>
      <c r="G996" s="549" t="s">
        <v>2041</v>
      </c>
      <c r="H996" s="584">
        <v>202205061477</v>
      </c>
      <c r="I996" s="548" t="s">
        <v>1796</v>
      </c>
      <c r="J996" s="575" t="s">
        <v>1594</v>
      </c>
      <c r="K996" s="580">
        <v>4956</v>
      </c>
      <c r="L996" s="580">
        <v>54.383499999999998</v>
      </c>
      <c r="M996" s="552">
        <f t="shared" si="82"/>
        <v>91.130581886049995</v>
      </c>
      <c r="N996" s="526">
        <v>60</v>
      </c>
      <c r="O996" s="563">
        <f t="shared" si="79"/>
        <v>82.6</v>
      </c>
      <c r="P996" s="564">
        <f t="shared" ca="1" si="80"/>
        <v>32</v>
      </c>
      <c r="Q996" s="552">
        <f t="shared" ca="1" si="78"/>
        <v>2312.8000000000002</v>
      </c>
      <c r="R996" s="563">
        <f t="shared" ca="1" si="81"/>
        <v>2312.8000000000002</v>
      </c>
      <c r="S996" s="565" t="s">
        <v>2042</v>
      </c>
    </row>
    <row r="997" spans="2:19" ht="35.1" customHeight="1" x14ac:dyDescent="0.25">
      <c r="B997" s="861">
        <v>44883</v>
      </c>
      <c r="C997" s="583" t="s">
        <v>2349</v>
      </c>
      <c r="D997" s="583"/>
      <c r="E997" s="548" t="s">
        <v>2039</v>
      </c>
      <c r="F997" s="548" t="s">
        <v>2058</v>
      </c>
      <c r="G997" s="549" t="s">
        <v>2041</v>
      </c>
      <c r="H997" s="584">
        <v>202205061504</v>
      </c>
      <c r="I997" s="548" t="s">
        <v>1796</v>
      </c>
      <c r="J997" s="575" t="s">
        <v>1594</v>
      </c>
      <c r="K997" s="580">
        <v>4956</v>
      </c>
      <c r="L997" s="580">
        <v>54.383499999999998</v>
      </c>
      <c r="M997" s="552">
        <f t="shared" si="82"/>
        <v>91.130581886049995</v>
      </c>
      <c r="N997" s="526">
        <v>60</v>
      </c>
      <c r="O997" s="563">
        <f t="shared" si="79"/>
        <v>82.6</v>
      </c>
      <c r="P997" s="564">
        <f t="shared" ca="1" si="80"/>
        <v>32</v>
      </c>
      <c r="Q997" s="552">
        <f t="shared" ca="1" si="78"/>
        <v>2312.8000000000002</v>
      </c>
      <c r="R997" s="563">
        <f t="shared" ca="1" si="81"/>
        <v>2312.8000000000002</v>
      </c>
      <c r="S997" s="565" t="s">
        <v>2042</v>
      </c>
    </row>
    <row r="998" spans="2:19" ht="35.1" customHeight="1" x14ac:dyDescent="0.25">
      <c r="B998" s="861">
        <v>44883</v>
      </c>
      <c r="C998" s="583" t="s">
        <v>2349</v>
      </c>
      <c r="D998" s="583"/>
      <c r="E998" s="548" t="s">
        <v>2039</v>
      </c>
      <c r="F998" s="548" t="s">
        <v>2059</v>
      </c>
      <c r="G998" s="549" t="s">
        <v>2041</v>
      </c>
      <c r="H998" s="584">
        <v>202205061048</v>
      </c>
      <c r="I998" s="548" t="s">
        <v>1796</v>
      </c>
      <c r="J998" s="575" t="s">
        <v>1594</v>
      </c>
      <c r="K998" s="580">
        <v>4956</v>
      </c>
      <c r="L998" s="580">
        <v>54.383499999999998</v>
      </c>
      <c r="M998" s="552">
        <f t="shared" si="82"/>
        <v>91.130581886049995</v>
      </c>
      <c r="N998" s="526">
        <v>60</v>
      </c>
      <c r="O998" s="563">
        <f t="shared" si="79"/>
        <v>82.6</v>
      </c>
      <c r="P998" s="564">
        <f t="shared" ca="1" si="80"/>
        <v>32</v>
      </c>
      <c r="Q998" s="552">
        <f t="shared" ca="1" si="78"/>
        <v>2312.8000000000002</v>
      </c>
      <c r="R998" s="563">
        <f t="shared" ca="1" si="81"/>
        <v>2312.8000000000002</v>
      </c>
      <c r="S998" s="565" t="s">
        <v>2042</v>
      </c>
    </row>
    <row r="999" spans="2:19" ht="35.1" customHeight="1" x14ac:dyDescent="0.25">
      <c r="B999" s="861">
        <v>44883</v>
      </c>
      <c r="C999" s="583" t="s">
        <v>2349</v>
      </c>
      <c r="D999" s="583"/>
      <c r="E999" s="548" t="s">
        <v>2039</v>
      </c>
      <c r="F999" s="548" t="s">
        <v>2060</v>
      </c>
      <c r="G999" s="549" t="s">
        <v>2041</v>
      </c>
      <c r="H999" s="584">
        <v>202205061020</v>
      </c>
      <c r="I999" s="548" t="s">
        <v>1796</v>
      </c>
      <c r="J999" s="575" t="s">
        <v>1594</v>
      </c>
      <c r="K999" s="580">
        <v>4956</v>
      </c>
      <c r="L999" s="580">
        <v>54.383499999999998</v>
      </c>
      <c r="M999" s="552">
        <f t="shared" si="82"/>
        <v>91.130581886049995</v>
      </c>
      <c r="N999" s="526">
        <v>60</v>
      </c>
      <c r="O999" s="563">
        <f t="shared" si="79"/>
        <v>82.6</v>
      </c>
      <c r="P999" s="564">
        <f t="shared" ca="1" si="80"/>
        <v>32</v>
      </c>
      <c r="Q999" s="552">
        <f t="shared" ca="1" si="78"/>
        <v>2312.8000000000002</v>
      </c>
      <c r="R999" s="563">
        <f t="shared" ca="1" si="81"/>
        <v>2312.8000000000002</v>
      </c>
      <c r="S999" s="565" t="s">
        <v>2042</v>
      </c>
    </row>
    <row r="1000" spans="2:19" ht="35.1" customHeight="1" x14ac:dyDescent="0.25">
      <c r="B1000" s="861">
        <v>44883</v>
      </c>
      <c r="C1000" s="583" t="s">
        <v>2349</v>
      </c>
      <c r="D1000" s="583"/>
      <c r="E1000" s="548" t="s">
        <v>2039</v>
      </c>
      <c r="F1000" s="548" t="s">
        <v>2061</v>
      </c>
      <c r="G1000" s="549" t="s">
        <v>2041</v>
      </c>
      <c r="H1000" s="584">
        <v>202205061019</v>
      </c>
      <c r="I1000" s="548" t="s">
        <v>1796</v>
      </c>
      <c r="J1000" s="575" t="s">
        <v>1594</v>
      </c>
      <c r="K1000" s="580">
        <v>4956</v>
      </c>
      <c r="L1000" s="580">
        <v>54.383499999999998</v>
      </c>
      <c r="M1000" s="552">
        <f t="shared" si="82"/>
        <v>91.130581886049995</v>
      </c>
      <c r="N1000" s="526">
        <v>60</v>
      </c>
      <c r="O1000" s="563">
        <f t="shared" si="79"/>
        <v>82.6</v>
      </c>
      <c r="P1000" s="564">
        <f t="shared" ca="1" si="80"/>
        <v>32</v>
      </c>
      <c r="Q1000" s="552">
        <f t="shared" ca="1" si="78"/>
        <v>2312.8000000000002</v>
      </c>
      <c r="R1000" s="563">
        <f t="shared" ca="1" si="81"/>
        <v>2312.8000000000002</v>
      </c>
      <c r="S1000" s="565" t="s">
        <v>2042</v>
      </c>
    </row>
    <row r="1001" spans="2:19" ht="35.1" customHeight="1" x14ac:dyDescent="0.25">
      <c r="B1001" s="861">
        <v>44883</v>
      </c>
      <c r="C1001" s="583" t="s">
        <v>2349</v>
      </c>
      <c r="D1001" s="583"/>
      <c r="E1001" s="548" t="s">
        <v>2039</v>
      </c>
      <c r="F1001" s="548" t="s">
        <v>2062</v>
      </c>
      <c r="G1001" s="549" t="s">
        <v>2041</v>
      </c>
      <c r="H1001" s="584">
        <v>202205061509</v>
      </c>
      <c r="I1001" s="548" t="s">
        <v>1796</v>
      </c>
      <c r="J1001" s="575" t="s">
        <v>1594</v>
      </c>
      <c r="K1001" s="580">
        <v>4956</v>
      </c>
      <c r="L1001" s="580">
        <v>54.383499999999998</v>
      </c>
      <c r="M1001" s="552">
        <f t="shared" si="82"/>
        <v>91.130581886049995</v>
      </c>
      <c r="N1001" s="526">
        <v>60</v>
      </c>
      <c r="O1001" s="563">
        <f t="shared" si="79"/>
        <v>82.6</v>
      </c>
      <c r="P1001" s="564">
        <f t="shared" ca="1" si="80"/>
        <v>32</v>
      </c>
      <c r="Q1001" s="552">
        <f t="shared" ca="1" si="78"/>
        <v>2312.8000000000002</v>
      </c>
      <c r="R1001" s="563">
        <f t="shared" ca="1" si="81"/>
        <v>2312.8000000000002</v>
      </c>
      <c r="S1001" s="565" t="s">
        <v>2042</v>
      </c>
    </row>
    <row r="1002" spans="2:19" ht="35.1" customHeight="1" x14ac:dyDescent="0.25">
      <c r="B1002" s="861">
        <v>44883</v>
      </c>
      <c r="C1002" s="583" t="s">
        <v>2349</v>
      </c>
      <c r="D1002" s="583"/>
      <c r="E1002" s="548" t="s">
        <v>2039</v>
      </c>
      <c r="F1002" s="548" t="s">
        <v>2063</v>
      </c>
      <c r="G1002" s="549" t="s">
        <v>2041</v>
      </c>
      <c r="H1002" s="584">
        <v>202205061479</v>
      </c>
      <c r="I1002" s="548" t="s">
        <v>1796</v>
      </c>
      <c r="J1002" s="575" t="s">
        <v>1594</v>
      </c>
      <c r="K1002" s="580">
        <v>4956</v>
      </c>
      <c r="L1002" s="580">
        <v>54.383499999999998</v>
      </c>
      <c r="M1002" s="552">
        <f t="shared" si="82"/>
        <v>91.130581886049995</v>
      </c>
      <c r="N1002" s="526">
        <v>60</v>
      </c>
      <c r="O1002" s="563">
        <f t="shared" si="79"/>
        <v>82.6</v>
      </c>
      <c r="P1002" s="564">
        <f t="shared" ca="1" si="80"/>
        <v>32</v>
      </c>
      <c r="Q1002" s="552">
        <f t="shared" ca="1" si="78"/>
        <v>2312.8000000000002</v>
      </c>
      <c r="R1002" s="563">
        <f t="shared" ca="1" si="81"/>
        <v>2312.8000000000002</v>
      </c>
      <c r="S1002" s="565" t="s">
        <v>2042</v>
      </c>
    </row>
    <row r="1003" spans="2:19" ht="35.1" customHeight="1" x14ac:dyDescent="0.25">
      <c r="B1003" s="861">
        <v>44883</v>
      </c>
      <c r="C1003" s="583" t="s">
        <v>2349</v>
      </c>
      <c r="D1003" s="583"/>
      <c r="E1003" s="548" t="s">
        <v>2039</v>
      </c>
      <c r="F1003" s="548" t="s">
        <v>2064</v>
      </c>
      <c r="G1003" s="549" t="s">
        <v>2041</v>
      </c>
      <c r="H1003" s="584">
        <v>202205061481</v>
      </c>
      <c r="I1003" s="548" t="s">
        <v>1796</v>
      </c>
      <c r="J1003" s="575" t="s">
        <v>1594</v>
      </c>
      <c r="K1003" s="580">
        <v>4956</v>
      </c>
      <c r="L1003" s="580">
        <v>54.383499999999998</v>
      </c>
      <c r="M1003" s="552">
        <f t="shared" si="82"/>
        <v>91.130581886049995</v>
      </c>
      <c r="N1003" s="526">
        <v>60</v>
      </c>
      <c r="O1003" s="563">
        <f t="shared" si="79"/>
        <v>82.6</v>
      </c>
      <c r="P1003" s="564">
        <f t="shared" ca="1" si="80"/>
        <v>32</v>
      </c>
      <c r="Q1003" s="552">
        <f t="shared" ca="1" si="78"/>
        <v>2312.8000000000002</v>
      </c>
      <c r="R1003" s="563">
        <f t="shared" ca="1" si="81"/>
        <v>2312.8000000000002</v>
      </c>
      <c r="S1003" s="565" t="s">
        <v>2042</v>
      </c>
    </row>
    <row r="1004" spans="2:19" ht="35.1" customHeight="1" x14ac:dyDescent="0.25">
      <c r="B1004" s="861">
        <v>44883</v>
      </c>
      <c r="C1004" s="583" t="s">
        <v>2349</v>
      </c>
      <c r="D1004" s="583"/>
      <c r="E1004" s="548" t="s">
        <v>2039</v>
      </c>
      <c r="F1004" s="548" t="s">
        <v>2065</v>
      </c>
      <c r="G1004" s="549" t="s">
        <v>2041</v>
      </c>
      <c r="H1004" s="584">
        <v>202205061496</v>
      </c>
      <c r="I1004" s="548" t="s">
        <v>1796</v>
      </c>
      <c r="J1004" s="575" t="s">
        <v>1594</v>
      </c>
      <c r="K1004" s="580">
        <v>4956</v>
      </c>
      <c r="L1004" s="580">
        <v>54.383499999999998</v>
      </c>
      <c r="M1004" s="552">
        <f t="shared" si="82"/>
        <v>91.130581886049995</v>
      </c>
      <c r="N1004" s="526">
        <v>60</v>
      </c>
      <c r="O1004" s="563">
        <f t="shared" si="79"/>
        <v>82.6</v>
      </c>
      <c r="P1004" s="564">
        <f t="shared" ca="1" si="80"/>
        <v>32</v>
      </c>
      <c r="Q1004" s="552">
        <f t="shared" ca="1" si="78"/>
        <v>2312.8000000000002</v>
      </c>
      <c r="R1004" s="563">
        <f t="shared" ca="1" si="81"/>
        <v>2312.8000000000002</v>
      </c>
      <c r="S1004" s="565" t="s">
        <v>2042</v>
      </c>
    </row>
    <row r="1005" spans="2:19" ht="35.1" customHeight="1" x14ac:dyDescent="0.25">
      <c r="B1005" s="861">
        <v>44883</v>
      </c>
      <c r="C1005" s="583" t="s">
        <v>2349</v>
      </c>
      <c r="D1005" s="583"/>
      <c r="E1005" s="548" t="s">
        <v>2039</v>
      </c>
      <c r="F1005" s="548" t="s">
        <v>2066</v>
      </c>
      <c r="G1005" s="549" t="s">
        <v>2041</v>
      </c>
      <c r="H1005" s="584">
        <v>202205061503</v>
      </c>
      <c r="I1005" s="548" t="s">
        <v>1796</v>
      </c>
      <c r="J1005" s="575" t="s">
        <v>1594</v>
      </c>
      <c r="K1005" s="580">
        <v>4956</v>
      </c>
      <c r="L1005" s="580">
        <v>54.383499999999998</v>
      </c>
      <c r="M1005" s="552">
        <f t="shared" si="82"/>
        <v>91.130581886049995</v>
      </c>
      <c r="N1005" s="526">
        <v>60</v>
      </c>
      <c r="O1005" s="563">
        <f t="shared" si="79"/>
        <v>82.6</v>
      </c>
      <c r="P1005" s="564">
        <f t="shared" ca="1" si="80"/>
        <v>32</v>
      </c>
      <c r="Q1005" s="552">
        <f t="shared" ca="1" si="78"/>
        <v>2312.8000000000002</v>
      </c>
      <c r="R1005" s="563">
        <f t="shared" ca="1" si="81"/>
        <v>2312.8000000000002</v>
      </c>
      <c r="S1005" s="565" t="s">
        <v>2042</v>
      </c>
    </row>
    <row r="1006" spans="2:19" ht="35.1" customHeight="1" x14ac:dyDescent="0.25">
      <c r="B1006" s="861">
        <v>44883</v>
      </c>
      <c r="C1006" s="583" t="s">
        <v>2349</v>
      </c>
      <c r="D1006" s="583"/>
      <c r="E1006" s="548" t="s">
        <v>2039</v>
      </c>
      <c r="F1006" s="548" t="s">
        <v>2067</v>
      </c>
      <c r="G1006" s="549" t="s">
        <v>2041</v>
      </c>
      <c r="H1006" s="584">
        <v>202205061497</v>
      </c>
      <c r="I1006" s="548" t="s">
        <v>1796</v>
      </c>
      <c r="J1006" s="575" t="s">
        <v>1594</v>
      </c>
      <c r="K1006" s="580">
        <v>4956</v>
      </c>
      <c r="L1006" s="580">
        <v>54.383499999999998</v>
      </c>
      <c r="M1006" s="552">
        <f t="shared" si="82"/>
        <v>91.130581886049995</v>
      </c>
      <c r="N1006" s="526">
        <v>60</v>
      </c>
      <c r="O1006" s="563">
        <f t="shared" si="79"/>
        <v>82.6</v>
      </c>
      <c r="P1006" s="564">
        <f t="shared" ca="1" si="80"/>
        <v>32</v>
      </c>
      <c r="Q1006" s="552">
        <f t="shared" ca="1" si="78"/>
        <v>2312.8000000000002</v>
      </c>
      <c r="R1006" s="563">
        <f t="shared" ca="1" si="81"/>
        <v>2312.8000000000002</v>
      </c>
      <c r="S1006" s="565" t="s">
        <v>2042</v>
      </c>
    </row>
    <row r="1007" spans="2:19" ht="35.1" customHeight="1" x14ac:dyDescent="0.25">
      <c r="B1007" s="861">
        <v>44883</v>
      </c>
      <c r="C1007" s="583" t="s">
        <v>2349</v>
      </c>
      <c r="D1007" s="583"/>
      <c r="E1007" s="548" t="s">
        <v>2039</v>
      </c>
      <c r="F1007" s="548" t="s">
        <v>2068</v>
      </c>
      <c r="G1007" s="549" t="s">
        <v>2041</v>
      </c>
      <c r="H1007" s="584">
        <v>202205061027</v>
      </c>
      <c r="I1007" s="548" t="s">
        <v>1796</v>
      </c>
      <c r="J1007" s="575" t="s">
        <v>1594</v>
      </c>
      <c r="K1007" s="580">
        <v>4956</v>
      </c>
      <c r="L1007" s="580">
        <v>54.383499999999998</v>
      </c>
      <c r="M1007" s="552">
        <f t="shared" si="82"/>
        <v>91.130581886049995</v>
      </c>
      <c r="N1007" s="526">
        <v>60</v>
      </c>
      <c r="O1007" s="563">
        <f t="shared" si="79"/>
        <v>82.6</v>
      </c>
      <c r="P1007" s="564">
        <f t="shared" ca="1" si="80"/>
        <v>32</v>
      </c>
      <c r="Q1007" s="552">
        <f t="shared" ca="1" si="78"/>
        <v>2312.8000000000002</v>
      </c>
      <c r="R1007" s="563">
        <f t="shared" ca="1" si="81"/>
        <v>2312.8000000000002</v>
      </c>
      <c r="S1007" s="565" t="s">
        <v>2042</v>
      </c>
    </row>
    <row r="1008" spans="2:19" ht="35.1" customHeight="1" x14ac:dyDescent="0.25">
      <c r="B1008" s="861">
        <v>44883</v>
      </c>
      <c r="C1008" s="583" t="s">
        <v>2349</v>
      </c>
      <c r="D1008" s="583"/>
      <c r="E1008" s="548" t="s">
        <v>2039</v>
      </c>
      <c r="F1008" s="548" t="s">
        <v>2069</v>
      </c>
      <c r="G1008" s="549" t="s">
        <v>2041</v>
      </c>
      <c r="H1008" s="584">
        <v>202205061507</v>
      </c>
      <c r="I1008" s="548" t="s">
        <v>1796</v>
      </c>
      <c r="J1008" s="575" t="s">
        <v>1594</v>
      </c>
      <c r="K1008" s="580">
        <v>4956</v>
      </c>
      <c r="L1008" s="580">
        <v>54.383499999999998</v>
      </c>
      <c r="M1008" s="552">
        <f t="shared" si="82"/>
        <v>91.130581886049995</v>
      </c>
      <c r="N1008" s="526">
        <v>60</v>
      </c>
      <c r="O1008" s="563">
        <f t="shared" si="79"/>
        <v>82.6</v>
      </c>
      <c r="P1008" s="564">
        <f t="shared" ca="1" si="80"/>
        <v>32</v>
      </c>
      <c r="Q1008" s="552">
        <f t="shared" ca="1" si="78"/>
        <v>2312.8000000000002</v>
      </c>
      <c r="R1008" s="563">
        <f t="shared" ca="1" si="81"/>
        <v>2312.8000000000002</v>
      </c>
      <c r="S1008" s="565" t="s">
        <v>2042</v>
      </c>
    </row>
    <row r="1009" spans="2:19" ht="35.1" customHeight="1" x14ac:dyDescent="0.25">
      <c r="B1009" s="861">
        <v>44883</v>
      </c>
      <c r="C1009" s="583" t="s">
        <v>2349</v>
      </c>
      <c r="D1009" s="583"/>
      <c r="E1009" s="548" t="s">
        <v>2039</v>
      </c>
      <c r="F1009" s="548" t="s">
        <v>2070</v>
      </c>
      <c r="G1009" s="549" t="s">
        <v>2041</v>
      </c>
      <c r="H1009" s="584">
        <v>202205061498</v>
      </c>
      <c r="I1009" s="548" t="s">
        <v>1796</v>
      </c>
      <c r="J1009" s="575" t="s">
        <v>1594</v>
      </c>
      <c r="K1009" s="580">
        <v>4956</v>
      </c>
      <c r="L1009" s="580">
        <v>54.383499999999998</v>
      </c>
      <c r="M1009" s="552">
        <f t="shared" si="82"/>
        <v>91.130581886049995</v>
      </c>
      <c r="N1009" s="526">
        <v>60</v>
      </c>
      <c r="O1009" s="563">
        <f t="shared" si="79"/>
        <v>82.6</v>
      </c>
      <c r="P1009" s="564">
        <f t="shared" ca="1" si="80"/>
        <v>32</v>
      </c>
      <c r="Q1009" s="552">
        <f t="shared" ca="1" si="78"/>
        <v>2312.8000000000002</v>
      </c>
      <c r="R1009" s="563">
        <f t="shared" ca="1" si="81"/>
        <v>2312.8000000000002</v>
      </c>
      <c r="S1009" s="565" t="s">
        <v>2042</v>
      </c>
    </row>
    <row r="1010" spans="2:19" ht="35.1" customHeight="1" x14ac:dyDescent="0.25">
      <c r="B1010" s="861">
        <v>44883</v>
      </c>
      <c r="C1010" s="583" t="s">
        <v>2349</v>
      </c>
      <c r="D1010" s="583"/>
      <c r="E1010" s="548" t="s">
        <v>2039</v>
      </c>
      <c r="F1010" s="548" t="s">
        <v>2071</v>
      </c>
      <c r="G1010" s="549" t="s">
        <v>2041</v>
      </c>
      <c r="H1010" s="584">
        <v>202205061043</v>
      </c>
      <c r="I1010" s="548" t="s">
        <v>1796</v>
      </c>
      <c r="J1010" s="575" t="s">
        <v>1594</v>
      </c>
      <c r="K1010" s="580">
        <v>4956</v>
      </c>
      <c r="L1010" s="580">
        <v>54.383499999999998</v>
      </c>
      <c r="M1010" s="552">
        <f t="shared" si="82"/>
        <v>91.130581886049995</v>
      </c>
      <c r="N1010" s="526">
        <v>60</v>
      </c>
      <c r="O1010" s="563">
        <f t="shared" si="79"/>
        <v>82.6</v>
      </c>
      <c r="P1010" s="564">
        <f t="shared" ca="1" si="80"/>
        <v>32</v>
      </c>
      <c r="Q1010" s="552">
        <f t="shared" ca="1" si="78"/>
        <v>2312.8000000000002</v>
      </c>
      <c r="R1010" s="563">
        <f t="shared" ca="1" si="81"/>
        <v>2312.8000000000002</v>
      </c>
      <c r="S1010" s="565" t="s">
        <v>2042</v>
      </c>
    </row>
    <row r="1011" spans="2:19" ht="35.1" customHeight="1" x14ac:dyDescent="0.25">
      <c r="B1011" s="861">
        <v>44883</v>
      </c>
      <c r="C1011" s="583" t="s">
        <v>2349</v>
      </c>
      <c r="D1011" s="583"/>
      <c r="E1011" s="548" t="s">
        <v>2039</v>
      </c>
      <c r="F1011" s="548" t="s">
        <v>2072</v>
      </c>
      <c r="G1011" s="549" t="s">
        <v>2041</v>
      </c>
      <c r="H1011" s="584">
        <v>202205061493</v>
      </c>
      <c r="I1011" s="548" t="s">
        <v>1796</v>
      </c>
      <c r="J1011" s="575" t="s">
        <v>1594</v>
      </c>
      <c r="K1011" s="580">
        <v>4956</v>
      </c>
      <c r="L1011" s="580">
        <v>54.383499999999998</v>
      </c>
      <c r="M1011" s="552">
        <f t="shared" si="82"/>
        <v>91.130581886049995</v>
      </c>
      <c r="N1011" s="526">
        <v>60</v>
      </c>
      <c r="O1011" s="563">
        <f t="shared" si="79"/>
        <v>82.6</v>
      </c>
      <c r="P1011" s="564">
        <f t="shared" ca="1" si="80"/>
        <v>32</v>
      </c>
      <c r="Q1011" s="552">
        <f t="shared" ca="1" si="78"/>
        <v>2312.8000000000002</v>
      </c>
      <c r="R1011" s="563">
        <f t="shared" ca="1" si="81"/>
        <v>2312.8000000000002</v>
      </c>
      <c r="S1011" s="565" t="s">
        <v>2042</v>
      </c>
    </row>
    <row r="1012" spans="2:19" ht="35.1" customHeight="1" x14ac:dyDescent="0.25">
      <c r="B1012" s="861">
        <v>44883</v>
      </c>
      <c r="C1012" s="583" t="s">
        <v>2349</v>
      </c>
      <c r="D1012" s="583"/>
      <c r="E1012" s="548" t="s">
        <v>2039</v>
      </c>
      <c r="F1012" s="548" t="s">
        <v>2073</v>
      </c>
      <c r="G1012" s="549" t="s">
        <v>2041</v>
      </c>
      <c r="H1012" s="584">
        <v>202205061475</v>
      </c>
      <c r="I1012" s="548" t="s">
        <v>1796</v>
      </c>
      <c r="J1012" s="575" t="s">
        <v>1594</v>
      </c>
      <c r="K1012" s="580">
        <v>4956</v>
      </c>
      <c r="L1012" s="580">
        <v>54.383499999999998</v>
      </c>
      <c r="M1012" s="552">
        <f t="shared" si="82"/>
        <v>91.130581886049995</v>
      </c>
      <c r="N1012" s="526">
        <v>60</v>
      </c>
      <c r="O1012" s="563">
        <f t="shared" si="79"/>
        <v>82.6</v>
      </c>
      <c r="P1012" s="564">
        <f t="shared" ca="1" si="80"/>
        <v>32</v>
      </c>
      <c r="Q1012" s="552">
        <f t="shared" ca="1" si="78"/>
        <v>2312.8000000000002</v>
      </c>
      <c r="R1012" s="563">
        <f t="shared" ca="1" si="81"/>
        <v>2312.8000000000002</v>
      </c>
      <c r="S1012" s="565" t="s">
        <v>2042</v>
      </c>
    </row>
    <row r="1013" spans="2:19" ht="35.1" customHeight="1" x14ac:dyDescent="0.25">
      <c r="B1013" s="861">
        <v>44883</v>
      </c>
      <c r="C1013" s="583" t="s">
        <v>2349</v>
      </c>
      <c r="D1013" s="583"/>
      <c r="E1013" s="548" t="s">
        <v>2039</v>
      </c>
      <c r="F1013" s="548" t="s">
        <v>2074</v>
      </c>
      <c r="G1013" s="549" t="s">
        <v>2041</v>
      </c>
      <c r="H1013" s="584">
        <v>202205061478</v>
      </c>
      <c r="I1013" s="548" t="s">
        <v>1796</v>
      </c>
      <c r="J1013" s="575" t="s">
        <v>1594</v>
      </c>
      <c r="K1013" s="580">
        <v>4956</v>
      </c>
      <c r="L1013" s="580">
        <v>54.383499999999998</v>
      </c>
      <c r="M1013" s="552">
        <f t="shared" si="82"/>
        <v>91.130581886049995</v>
      </c>
      <c r="N1013" s="526">
        <v>60</v>
      </c>
      <c r="O1013" s="563">
        <f t="shared" si="79"/>
        <v>82.6</v>
      </c>
      <c r="P1013" s="564">
        <f t="shared" ca="1" si="80"/>
        <v>32</v>
      </c>
      <c r="Q1013" s="552">
        <f t="shared" ca="1" si="78"/>
        <v>2312.8000000000002</v>
      </c>
      <c r="R1013" s="563">
        <f t="shared" ca="1" si="81"/>
        <v>2312.8000000000002</v>
      </c>
      <c r="S1013" s="565" t="s">
        <v>2042</v>
      </c>
    </row>
    <row r="1014" spans="2:19" ht="35.1" customHeight="1" x14ac:dyDescent="0.25">
      <c r="B1014" s="861">
        <v>44883</v>
      </c>
      <c r="C1014" s="583" t="s">
        <v>2349</v>
      </c>
      <c r="D1014" s="583"/>
      <c r="E1014" s="548" t="s">
        <v>2039</v>
      </c>
      <c r="F1014" s="548" t="s">
        <v>2075</v>
      </c>
      <c r="G1014" s="549" t="s">
        <v>2041</v>
      </c>
      <c r="H1014" s="584">
        <v>202205061511</v>
      </c>
      <c r="I1014" s="548" t="s">
        <v>1796</v>
      </c>
      <c r="J1014" s="575" t="s">
        <v>1594</v>
      </c>
      <c r="K1014" s="580">
        <v>4956</v>
      </c>
      <c r="L1014" s="580">
        <v>54.383499999999998</v>
      </c>
      <c r="M1014" s="552">
        <f t="shared" si="82"/>
        <v>91.130581886049995</v>
      </c>
      <c r="N1014" s="526">
        <v>60</v>
      </c>
      <c r="O1014" s="563">
        <f t="shared" si="79"/>
        <v>82.6</v>
      </c>
      <c r="P1014" s="564">
        <f t="shared" ca="1" si="80"/>
        <v>32</v>
      </c>
      <c r="Q1014" s="552">
        <f t="shared" ca="1" si="78"/>
        <v>2312.8000000000002</v>
      </c>
      <c r="R1014" s="563">
        <f t="shared" ca="1" si="81"/>
        <v>2312.8000000000002</v>
      </c>
      <c r="S1014" s="565" t="s">
        <v>2042</v>
      </c>
    </row>
    <row r="1015" spans="2:19" ht="35.1" customHeight="1" x14ac:dyDescent="0.25">
      <c r="B1015" s="861">
        <v>44883</v>
      </c>
      <c r="C1015" s="583" t="s">
        <v>2349</v>
      </c>
      <c r="D1015" s="583"/>
      <c r="E1015" s="548" t="s">
        <v>2039</v>
      </c>
      <c r="F1015" s="548" t="s">
        <v>2076</v>
      </c>
      <c r="G1015" s="549" t="s">
        <v>2041</v>
      </c>
      <c r="H1015" s="584">
        <v>202205061490</v>
      </c>
      <c r="I1015" s="548" t="s">
        <v>1796</v>
      </c>
      <c r="J1015" s="575" t="s">
        <v>1594</v>
      </c>
      <c r="K1015" s="580">
        <v>4956</v>
      </c>
      <c r="L1015" s="580">
        <v>54.383499999999998</v>
      </c>
      <c r="M1015" s="552">
        <f t="shared" si="82"/>
        <v>91.130581886049995</v>
      </c>
      <c r="N1015" s="526">
        <v>60</v>
      </c>
      <c r="O1015" s="563">
        <f t="shared" si="79"/>
        <v>82.6</v>
      </c>
      <c r="P1015" s="564">
        <f t="shared" ca="1" si="80"/>
        <v>32</v>
      </c>
      <c r="Q1015" s="552">
        <f t="shared" ca="1" si="78"/>
        <v>2312.8000000000002</v>
      </c>
      <c r="R1015" s="563">
        <f t="shared" ca="1" si="81"/>
        <v>2312.8000000000002</v>
      </c>
      <c r="S1015" s="565" t="s">
        <v>2042</v>
      </c>
    </row>
    <row r="1016" spans="2:19" ht="35.1" customHeight="1" x14ac:dyDescent="0.25">
      <c r="B1016" s="861">
        <v>44883</v>
      </c>
      <c r="C1016" s="583" t="s">
        <v>2349</v>
      </c>
      <c r="D1016" s="583"/>
      <c r="E1016" s="548" t="s">
        <v>2039</v>
      </c>
      <c r="F1016" s="548" t="s">
        <v>2077</v>
      </c>
      <c r="G1016" s="549" t="s">
        <v>2041</v>
      </c>
      <c r="H1016" s="584">
        <v>202205061484</v>
      </c>
      <c r="I1016" s="548" t="s">
        <v>1796</v>
      </c>
      <c r="J1016" s="575" t="s">
        <v>1594</v>
      </c>
      <c r="K1016" s="580">
        <v>4956</v>
      </c>
      <c r="L1016" s="580">
        <v>54.383499999999998</v>
      </c>
      <c r="M1016" s="552">
        <f t="shared" si="82"/>
        <v>91.130581886049995</v>
      </c>
      <c r="N1016" s="526">
        <v>60</v>
      </c>
      <c r="O1016" s="563">
        <f t="shared" si="79"/>
        <v>82.6</v>
      </c>
      <c r="P1016" s="564">
        <f t="shared" ca="1" si="80"/>
        <v>32</v>
      </c>
      <c r="Q1016" s="552">
        <f t="shared" ca="1" si="78"/>
        <v>2312.8000000000002</v>
      </c>
      <c r="R1016" s="563">
        <f t="shared" ca="1" si="81"/>
        <v>2312.8000000000002</v>
      </c>
      <c r="S1016" s="565" t="s">
        <v>2042</v>
      </c>
    </row>
    <row r="1017" spans="2:19" ht="35.1" customHeight="1" x14ac:dyDescent="0.25">
      <c r="B1017" s="861">
        <v>44883</v>
      </c>
      <c r="C1017" s="583" t="s">
        <v>2349</v>
      </c>
      <c r="D1017" s="583"/>
      <c r="E1017" s="548" t="s">
        <v>2039</v>
      </c>
      <c r="F1017" s="548" t="s">
        <v>2078</v>
      </c>
      <c r="G1017" s="549" t="s">
        <v>2041</v>
      </c>
      <c r="H1017" s="584">
        <v>202205061472</v>
      </c>
      <c r="I1017" s="548" t="s">
        <v>1796</v>
      </c>
      <c r="J1017" s="575" t="s">
        <v>1594</v>
      </c>
      <c r="K1017" s="580">
        <v>4956</v>
      </c>
      <c r="L1017" s="580">
        <v>54.383499999999998</v>
      </c>
      <c r="M1017" s="552">
        <f t="shared" si="82"/>
        <v>91.130581886049995</v>
      </c>
      <c r="N1017" s="526">
        <v>60</v>
      </c>
      <c r="O1017" s="563">
        <f t="shared" si="79"/>
        <v>82.6</v>
      </c>
      <c r="P1017" s="564">
        <f t="shared" ca="1" si="80"/>
        <v>32</v>
      </c>
      <c r="Q1017" s="552">
        <f t="shared" ca="1" si="78"/>
        <v>2312.8000000000002</v>
      </c>
      <c r="R1017" s="563">
        <f t="shared" ca="1" si="81"/>
        <v>2312.8000000000002</v>
      </c>
      <c r="S1017" s="565" t="s">
        <v>2042</v>
      </c>
    </row>
    <row r="1018" spans="2:19" ht="35.1" customHeight="1" x14ac:dyDescent="0.25">
      <c r="B1018" s="861">
        <v>44883</v>
      </c>
      <c r="C1018" s="583" t="s">
        <v>2349</v>
      </c>
      <c r="D1018" s="583"/>
      <c r="E1018" s="548" t="s">
        <v>2039</v>
      </c>
      <c r="F1018" s="548" t="s">
        <v>2079</v>
      </c>
      <c r="G1018" s="549" t="s">
        <v>2041</v>
      </c>
      <c r="H1018" s="584">
        <v>202205061501</v>
      </c>
      <c r="I1018" s="548" t="s">
        <v>1796</v>
      </c>
      <c r="J1018" s="575" t="s">
        <v>1594</v>
      </c>
      <c r="K1018" s="580">
        <v>4956</v>
      </c>
      <c r="L1018" s="580">
        <v>54.383499999999998</v>
      </c>
      <c r="M1018" s="552">
        <f t="shared" si="82"/>
        <v>91.130581886049995</v>
      </c>
      <c r="N1018" s="526">
        <v>60</v>
      </c>
      <c r="O1018" s="563">
        <f t="shared" si="79"/>
        <v>82.6</v>
      </c>
      <c r="P1018" s="564">
        <f t="shared" ca="1" si="80"/>
        <v>32</v>
      </c>
      <c r="Q1018" s="552">
        <f t="shared" ca="1" si="78"/>
        <v>2312.8000000000002</v>
      </c>
      <c r="R1018" s="563">
        <f t="shared" ca="1" si="81"/>
        <v>2312.8000000000002</v>
      </c>
      <c r="S1018" s="565" t="s">
        <v>2042</v>
      </c>
    </row>
    <row r="1019" spans="2:19" ht="35.1" customHeight="1" x14ac:dyDescent="0.25">
      <c r="B1019" s="861">
        <v>44883</v>
      </c>
      <c r="C1019" s="583" t="s">
        <v>2349</v>
      </c>
      <c r="D1019" s="583"/>
      <c r="E1019" s="548" t="s">
        <v>2039</v>
      </c>
      <c r="F1019" s="548" t="s">
        <v>2080</v>
      </c>
      <c r="G1019" s="549" t="s">
        <v>2041</v>
      </c>
      <c r="H1019" s="584">
        <v>202205061495</v>
      </c>
      <c r="I1019" s="548" t="s">
        <v>1796</v>
      </c>
      <c r="J1019" s="575" t="s">
        <v>1594</v>
      </c>
      <c r="K1019" s="580">
        <v>4956</v>
      </c>
      <c r="L1019" s="580">
        <v>54.383499999999998</v>
      </c>
      <c r="M1019" s="552">
        <f t="shared" si="82"/>
        <v>91.130581886049995</v>
      </c>
      <c r="N1019" s="526">
        <v>60</v>
      </c>
      <c r="O1019" s="563">
        <f t="shared" si="79"/>
        <v>82.6</v>
      </c>
      <c r="P1019" s="564">
        <f t="shared" ca="1" si="80"/>
        <v>32</v>
      </c>
      <c r="Q1019" s="552">
        <f t="shared" ca="1" si="78"/>
        <v>2312.8000000000002</v>
      </c>
      <c r="R1019" s="563">
        <f t="shared" ca="1" si="81"/>
        <v>2312.8000000000002</v>
      </c>
      <c r="S1019" s="565" t="s">
        <v>2042</v>
      </c>
    </row>
    <row r="1020" spans="2:19" ht="35.1" customHeight="1" x14ac:dyDescent="0.25">
      <c r="B1020" s="861">
        <v>44883</v>
      </c>
      <c r="C1020" s="583" t="s">
        <v>2349</v>
      </c>
      <c r="D1020" s="583"/>
      <c r="E1020" s="548" t="s">
        <v>2039</v>
      </c>
      <c r="F1020" s="548" t="s">
        <v>2081</v>
      </c>
      <c r="G1020" s="549" t="s">
        <v>2041</v>
      </c>
      <c r="H1020" s="584">
        <v>202205061505</v>
      </c>
      <c r="I1020" s="548" t="s">
        <v>1796</v>
      </c>
      <c r="J1020" s="575" t="s">
        <v>1594</v>
      </c>
      <c r="K1020" s="580">
        <v>4956</v>
      </c>
      <c r="L1020" s="580">
        <v>54.383499999999998</v>
      </c>
      <c r="M1020" s="552">
        <f t="shared" si="82"/>
        <v>91.130581886049995</v>
      </c>
      <c r="N1020" s="526">
        <v>60</v>
      </c>
      <c r="O1020" s="563">
        <f t="shared" si="79"/>
        <v>82.6</v>
      </c>
      <c r="P1020" s="564">
        <f t="shared" ca="1" si="80"/>
        <v>32</v>
      </c>
      <c r="Q1020" s="552">
        <f t="shared" ca="1" si="78"/>
        <v>2312.8000000000002</v>
      </c>
      <c r="R1020" s="563">
        <f t="shared" ca="1" si="81"/>
        <v>2312.8000000000002</v>
      </c>
      <c r="S1020" s="565" t="s">
        <v>2042</v>
      </c>
    </row>
    <row r="1021" spans="2:19" ht="35.1" customHeight="1" x14ac:dyDescent="0.25">
      <c r="B1021" s="861">
        <v>44883</v>
      </c>
      <c r="C1021" s="583" t="s">
        <v>2349</v>
      </c>
      <c r="D1021" s="583"/>
      <c r="E1021" s="548" t="s">
        <v>2039</v>
      </c>
      <c r="F1021" s="548" t="s">
        <v>2082</v>
      </c>
      <c r="G1021" s="549" t="s">
        <v>2041</v>
      </c>
      <c r="H1021" s="584">
        <v>202205061486</v>
      </c>
      <c r="I1021" s="548" t="s">
        <v>1796</v>
      </c>
      <c r="J1021" s="575" t="s">
        <v>1594</v>
      </c>
      <c r="K1021" s="580">
        <v>4956</v>
      </c>
      <c r="L1021" s="580">
        <v>54.383499999999998</v>
      </c>
      <c r="M1021" s="552">
        <f t="shared" si="82"/>
        <v>91.130581886049995</v>
      </c>
      <c r="N1021" s="526">
        <v>60</v>
      </c>
      <c r="O1021" s="563">
        <f t="shared" si="79"/>
        <v>82.6</v>
      </c>
      <c r="P1021" s="564">
        <f t="shared" ca="1" si="80"/>
        <v>32</v>
      </c>
      <c r="Q1021" s="552">
        <f t="shared" ca="1" si="78"/>
        <v>2312.8000000000002</v>
      </c>
      <c r="R1021" s="563">
        <f t="shared" ca="1" si="81"/>
        <v>2312.8000000000002</v>
      </c>
      <c r="S1021" s="565" t="s">
        <v>2042</v>
      </c>
    </row>
    <row r="1022" spans="2:19" ht="35.1" customHeight="1" x14ac:dyDescent="0.25">
      <c r="B1022" s="861">
        <v>44883</v>
      </c>
      <c r="C1022" s="583" t="s">
        <v>2349</v>
      </c>
      <c r="D1022" s="583"/>
      <c r="E1022" s="548" t="s">
        <v>2039</v>
      </c>
      <c r="F1022" s="548" t="s">
        <v>2083</v>
      </c>
      <c r="G1022" s="549" t="s">
        <v>2041</v>
      </c>
      <c r="H1022" s="584">
        <v>202205061489</v>
      </c>
      <c r="I1022" s="548" t="s">
        <v>1796</v>
      </c>
      <c r="J1022" s="575" t="s">
        <v>1594</v>
      </c>
      <c r="K1022" s="580">
        <v>4956</v>
      </c>
      <c r="L1022" s="580">
        <v>54.383499999999998</v>
      </c>
      <c r="M1022" s="552">
        <f t="shared" si="82"/>
        <v>91.130581886049995</v>
      </c>
      <c r="N1022" s="526">
        <v>60</v>
      </c>
      <c r="O1022" s="563">
        <f t="shared" si="79"/>
        <v>82.6</v>
      </c>
      <c r="P1022" s="564">
        <f t="shared" ca="1" si="80"/>
        <v>32</v>
      </c>
      <c r="Q1022" s="552">
        <f t="shared" ca="1" si="78"/>
        <v>2312.8000000000002</v>
      </c>
      <c r="R1022" s="563">
        <f t="shared" ca="1" si="81"/>
        <v>2312.8000000000002</v>
      </c>
      <c r="S1022" s="565" t="s">
        <v>2042</v>
      </c>
    </row>
    <row r="1023" spans="2:19" ht="35.1" customHeight="1" x14ac:dyDescent="0.25">
      <c r="B1023" s="861">
        <v>44883</v>
      </c>
      <c r="C1023" s="583" t="s">
        <v>2349</v>
      </c>
      <c r="D1023" s="583"/>
      <c r="E1023" s="548" t="s">
        <v>2039</v>
      </c>
      <c r="F1023" s="548" t="s">
        <v>2084</v>
      </c>
      <c r="G1023" s="549" t="s">
        <v>2041</v>
      </c>
      <c r="H1023" s="584">
        <v>202205061506</v>
      </c>
      <c r="I1023" s="548" t="s">
        <v>1796</v>
      </c>
      <c r="J1023" s="575" t="s">
        <v>1594</v>
      </c>
      <c r="K1023" s="580">
        <v>4956</v>
      </c>
      <c r="L1023" s="580">
        <v>54.383499999999998</v>
      </c>
      <c r="M1023" s="552">
        <f t="shared" si="82"/>
        <v>91.130581886049995</v>
      </c>
      <c r="N1023" s="526">
        <v>60</v>
      </c>
      <c r="O1023" s="563">
        <f t="shared" si="79"/>
        <v>82.6</v>
      </c>
      <c r="P1023" s="564">
        <f t="shared" ca="1" si="80"/>
        <v>32</v>
      </c>
      <c r="Q1023" s="552">
        <f t="shared" ca="1" si="78"/>
        <v>2312.8000000000002</v>
      </c>
      <c r="R1023" s="563">
        <f t="shared" ca="1" si="81"/>
        <v>2312.8000000000002</v>
      </c>
      <c r="S1023" s="565" t="s">
        <v>2042</v>
      </c>
    </row>
    <row r="1024" spans="2:19" ht="35.1" customHeight="1" x14ac:dyDescent="0.25">
      <c r="B1024" s="861">
        <v>44883</v>
      </c>
      <c r="C1024" s="583" t="s">
        <v>2349</v>
      </c>
      <c r="D1024" s="583"/>
      <c r="E1024" s="548" t="s">
        <v>2039</v>
      </c>
      <c r="F1024" s="548" t="s">
        <v>2085</v>
      </c>
      <c r="G1024" s="549" t="s">
        <v>2041</v>
      </c>
      <c r="H1024" s="584">
        <v>202205061487</v>
      </c>
      <c r="I1024" s="548" t="s">
        <v>1796</v>
      </c>
      <c r="J1024" s="575" t="s">
        <v>1594</v>
      </c>
      <c r="K1024" s="580">
        <v>4956</v>
      </c>
      <c r="L1024" s="580">
        <v>54.383499999999998</v>
      </c>
      <c r="M1024" s="552">
        <f t="shared" si="82"/>
        <v>91.130581886049995</v>
      </c>
      <c r="N1024" s="526">
        <v>60</v>
      </c>
      <c r="O1024" s="563">
        <f t="shared" si="79"/>
        <v>82.6</v>
      </c>
      <c r="P1024" s="564">
        <f t="shared" ca="1" si="80"/>
        <v>32</v>
      </c>
      <c r="Q1024" s="552">
        <f t="shared" ca="1" si="78"/>
        <v>2312.8000000000002</v>
      </c>
      <c r="R1024" s="563">
        <f t="shared" ca="1" si="81"/>
        <v>2312.8000000000002</v>
      </c>
      <c r="S1024" s="565" t="s">
        <v>2042</v>
      </c>
    </row>
    <row r="1025" spans="2:19" ht="35.1" customHeight="1" x14ac:dyDescent="0.25">
      <c r="B1025" s="861">
        <v>44883</v>
      </c>
      <c r="C1025" s="583" t="s">
        <v>2349</v>
      </c>
      <c r="D1025" s="583"/>
      <c r="E1025" s="548" t="s">
        <v>2039</v>
      </c>
      <c r="F1025" s="548" t="s">
        <v>2086</v>
      </c>
      <c r="G1025" s="549" t="s">
        <v>2041</v>
      </c>
      <c r="H1025" s="584">
        <v>202205061032</v>
      </c>
      <c r="I1025" s="548" t="s">
        <v>1796</v>
      </c>
      <c r="J1025" s="575" t="s">
        <v>1594</v>
      </c>
      <c r="K1025" s="580">
        <v>4956</v>
      </c>
      <c r="L1025" s="580">
        <v>54.383499999999998</v>
      </c>
      <c r="M1025" s="552">
        <f t="shared" si="82"/>
        <v>91.130581886049995</v>
      </c>
      <c r="N1025" s="526">
        <v>60</v>
      </c>
      <c r="O1025" s="563">
        <f t="shared" si="79"/>
        <v>82.6</v>
      </c>
      <c r="P1025" s="564">
        <f t="shared" ca="1" si="80"/>
        <v>32</v>
      </c>
      <c r="Q1025" s="552">
        <f t="shared" ca="1" si="78"/>
        <v>2312.8000000000002</v>
      </c>
      <c r="R1025" s="563">
        <f t="shared" ca="1" si="81"/>
        <v>2312.8000000000002</v>
      </c>
      <c r="S1025" s="565" t="s">
        <v>2042</v>
      </c>
    </row>
    <row r="1026" spans="2:19" ht="35.1" customHeight="1" x14ac:dyDescent="0.25">
      <c r="B1026" s="861">
        <v>44883</v>
      </c>
      <c r="C1026" s="583" t="s">
        <v>2349</v>
      </c>
      <c r="D1026" s="583"/>
      <c r="E1026" s="548" t="s">
        <v>2039</v>
      </c>
      <c r="F1026" s="548" t="s">
        <v>2087</v>
      </c>
      <c r="G1026" s="549" t="s">
        <v>2041</v>
      </c>
      <c r="H1026" s="584">
        <v>202205061491</v>
      </c>
      <c r="I1026" s="548" t="s">
        <v>1796</v>
      </c>
      <c r="J1026" s="575" t="s">
        <v>1594</v>
      </c>
      <c r="K1026" s="580">
        <v>4956</v>
      </c>
      <c r="L1026" s="580">
        <v>54.383499999999998</v>
      </c>
      <c r="M1026" s="552">
        <f t="shared" si="82"/>
        <v>91.130581886049995</v>
      </c>
      <c r="N1026" s="526">
        <v>60</v>
      </c>
      <c r="O1026" s="563">
        <f t="shared" si="79"/>
        <v>82.6</v>
      </c>
      <c r="P1026" s="564">
        <f t="shared" ca="1" si="80"/>
        <v>32</v>
      </c>
      <c r="Q1026" s="552">
        <f t="shared" ref="Q1026:Q1089" ca="1" si="83">IF(OR(K1026=0,N1026=0,P1026=0),0,K1026-(O1026*P1026))</f>
        <v>2312.8000000000002</v>
      </c>
      <c r="R1026" s="563">
        <f t="shared" ca="1" si="81"/>
        <v>2312.8000000000002</v>
      </c>
      <c r="S1026" s="565" t="s">
        <v>2042</v>
      </c>
    </row>
    <row r="1027" spans="2:19" ht="35.1" customHeight="1" x14ac:dyDescent="0.25">
      <c r="B1027" s="861">
        <v>44883</v>
      </c>
      <c r="C1027" s="583" t="s">
        <v>2349</v>
      </c>
      <c r="D1027" s="583"/>
      <c r="E1027" s="548" t="s">
        <v>2039</v>
      </c>
      <c r="F1027" s="548" t="s">
        <v>2088</v>
      </c>
      <c r="G1027" s="549" t="s">
        <v>2041</v>
      </c>
      <c r="H1027" s="584">
        <v>202205061474</v>
      </c>
      <c r="I1027" s="548" t="s">
        <v>1796</v>
      </c>
      <c r="J1027" s="575" t="s">
        <v>1594</v>
      </c>
      <c r="K1027" s="580">
        <v>4956</v>
      </c>
      <c r="L1027" s="580">
        <v>54.383499999999998</v>
      </c>
      <c r="M1027" s="552">
        <f t="shared" si="82"/>
        <v>91.130581886049995</v>
      </c>
      <c r="N1027" s="526">
        <v>60</v>
      </c>
      <c r="O1027" s="563">
        <f t="shared" si="79"/>
        <v>82.6</v>
      </c>
      <c r="P1027" s="564">
        <f t="shared" ca="1" si="80"/>
        <v>32</v>
      </c>
      <c r="Q1027" s="552">
        <f t="shared" ca="1" si="83"/>
        <v>2312.8000000000002</v>
      </c>
      <c r="R1027" s="563">
        <f t="shared" ca="1" si="81"/>
        <v>2312.8000000000002</v>
      </c>
      <c r="S1027" s="565" t="s">
        <v>2042</v>
      </c>
    </row>
    <row r="1028" spans="2:19" ht="35.1" customHeight="1" x14ac:dyDescent="0.25">
      <c r="B1028" s="861">
        <v>44883</v>
      </c>
      <c r="C1028" s="583" t="s">
        <v>2349</v>
      </c>
      <c r="D1028" s="583"/>
      <c r="E1028" s="548" t="s">
        <v>2039</v>
      </c>
      <c r="F1028" s="548" t="s">
        <v>2089</v>
      </c>
      <c r="G1028" s="549" t="s">
        <v>2041</v>
      </c>
      <c r="H1028" s="584">
        <v>202205061471</v>
      </c>
      <c r="I1028" s="548" t="s">
        <v>1796</v>
      </c>
      <c r="J1028" s="575" t="s">
        <v>1594</v>
      </c>
      <c r="K1028" s="580">
        <v>4956</v>
      </c>
      <c r="L1028" s="580">
        <v>54.383499999999998</v>
      </c>
      <c r="M1028" s="552">
        <f t="shared" si="82"/>
        <v>91.130581886049995</v>
      </c>
      <c r="N1028" s="526">
        <v>60</v>
      </c>
      <c r="O1028" s="563">
        <f t="shared" si="79"/>
        <v>82.6</v>
      </c>
      <c r="P1028" s="564">
        <f t="shared" ca="1" si="80"/>
        <v>32</v>
      </c>
      <c r="Q1028" s="552">
        <f t="shared" ca="1" si="83"/>
        <v>2312.8000000000002</v>
      </c>
      <c r="R1028" s="563">
        <f t="shared" ca="1" si="81"/>
        <v>2312.8000000000002</v>
      </c>
      <c r="S1028" s="565" t="s">
        <v>2042</v>
      </c>
    </row>
    <row r="1029" spans="2:19" ht="35.1" customHeight="1" x14ac:dyDescent="0.25">
      <c r="B1029" s="861">
        <v>44883</v>
      </c>
      <c r="C1029" s="583" t="s">
        <v>2349</v>
      </c>
      <c r="D1029" s="583"/>
      <c r="E1029" s="548" t="s">
        <v>2039</v>
      </c>
      <c r="F1029" s="548" t="s">
        <v>2090</v>
      </c>
      <c r="G1029" s="549" t="s">
        <v>2041</v>
      </c>
      <c r="H1029" s="584">
        <v>202205061494</v>
      </c>
      <c r="I1029" s="548" t="s">
        <v>1796</v>
      </c>
      <c r="J1029" s="575" t="s">
        <v>1594</v>
      </c>
      <c r="K1029" s="580">
        <v>4956</v>
      </c>
      <c r="L1029" s="580">
        <v>54.383499999999998</v>
      </c>
      <c r="M1029" s="552">
        <f t="shared" si="82"/>
        <v>91.130581886049995</v>
      </c>
      <c r="N1029" s="526">
        <v>60</v>
      </c>
      <c r="O1029" s="563">
        <f t="shared" si="79"/>
        <v>82.6</v>
      </c>
      <c r="P1029" s="564">
        <f t="shared" ca="1" si="80"/>
        <v>32</v>
      </c>
      <c r="Q1029" s="552">
        <f t="shared" ca="1" si="83"/>
        <v>2312.8000000000002</v>
      </c>
      <c r="R1029" s="563">
        <f t="shared" ca="1" si="81"/>
        <v>2312.8000000000002</v>
      </c>
      <c r="S1029" s="565" t="s">
        <v>2042</v>
      </c>
    </row>
    <row r="1030" spans="2:19" ht="35.1" customHeight="1" x14ac:dyDescent="0.25">
      <c r="B1030" s="861">
        <v>44883</v>
      </c>
      <c r="C1030" s="583" t="s">
        <v>2349</v>
      </c>
      <c r="D1030" s="583"/>
      <c r="E1030" s="548" t="s">
        <v>2039</v>
      </c>
      <c r="F1030" s="548" t="s">
        <v>2091</v>
      </c>
      <c r="G1030" s="549" t="s">
        <v>2041</v>
      </c>
      <c r="H1030" s="584">
        <v>202205061018</v>
      </c>
      <c r="I1030" s="548" t="s">
        <v>1796</v>
      </c>
      <c r="J1030" s="575" t="s">
        <v>1594</v>
      </c>
      <c r="K1030" s="580">
        <v>4956</v>
      </c>
      <c r="L1030" s="580">
        <v>54.383499999999998</v>
      </c>
      <c r="M1030" s="552">
        <f t="shared" si="82"/>
        <v>91.130581886049995</v>
      </c>
      <c r="N1030" s="526">
        <v>60</v>
      </c>
      <c r="O1030" s="563">
        <f t="shared" si="79"/>
        <v>82.6</v>
      </c>
      <c r="P1030" s="564">
        <f t="shared" ca="1" si="80"/>
        <v>32</v>
      </c>
      <c r="Q1030" s="552">
        <f t="shared" ca="1" si="83"/>
        <v>2312.8000000000002</v>
      </c>
      <c r="R1030" s="563">
        <f t="shared" ca="1" si="81"/>
        <v>2312.8000000000002</v>
      </c>
      <c r="S1030" s="565" t="s">
        <v>2042</v>
      </c>
    </row>
    <row r="1031" spans="2:19" ht="35.1" customHeight="1" x14ac:dyDescent="0.25">
      <c r="B1031" s="861">
        <v>44883</v>
      </c>
      <c r="C1031" s="583" t="s">
        <v>2349</v>
      </c>
      <c r="D1031" s="583"/>
      <c r="E1031" s="548" t="s">
        <v>2039</v>
      </c>
      <c r="F1031" s="548" t="s">
        <v>2092</v>
      </c>
      <c r="G1031" s="549" t="s">
        <v>2041</v>
      </c>
      <c r="H1031" s="584">
        <v>202205061488</v>
      </c>
      <c r="I1031" s="548" t="s">
        <v>1796</v>
      </c>
      <c r="J1031" s="575" t="s">
        <v>1594</v>
      </c>
      <c r="K1031" s="580">
        <v>4956</v>
      </c>
      <c r="L1031" s="580">
        <v>54.383499999999998</v>
      </c>
      <c r="M1031" s="552">
        <f t="shared" si="82"/>
        <v>91.130581886049995</v>
      </c>
      <c r="N1031" s="526">
        <v>60</v>
      </c>
      <c r="O1031" s="563">
        <f t="shared" si="79"/>
        <v>82.6</v>
      </c>
      <c r="P1031" s="564">
        <f t="shared" ca="1" si="80"/>
        <v>32</v>
      </c>
      <c r="Q1031" s="552">
        <f t="shared" ca="1" si="83"/>
        <v>2312.8000000000002</v>
      </c>
      <c r="R1031" s="563">
        <f t="shared" ca="1" si="81"/>
        <v>2312.8000000000002</v>
      </c>
      <c r="S1031" s="565" t="s">
        <v>2042</v>
      </c>
    </row>
    <row r="1032" spans="2:19" ht="35.1" customHeight="1" x14ac:dyDescent="0.25">
      <c r="B1032" s="861">
        <v>44883</v>
      </c>
      <c r="C1032" s="583" t="s">
        <v>2349</v>
      </c>
      <c r="D1032" s="583"/>
      <c r="E1032" s="548" t="s">
        <v>2039</v>
      </c>
      <c r="F1032" s="548" t="s">
        <v>2093</v>
      </c>
      <c r="G1032" s="549" t="s">
        <v>2041</v>
      </c>
      <c r="H1032" s="584">
        <v>202205061482</v>
      </c>
      <c r="I1032" s="548" t="s">
        <v>1796</v>
      </c>
      <c r="J1032" s="575" t="s">
        <v>1594</v>
      </c>
      <c r="K1032" s="580">
        <v>4956</v>
      </c>
      <c r="L1032" s="580">
        <v>54.383499999999998</v>
      </c>
      <c r="M1032" s="552">
        <f t="shared" si="82"/>
        <v>91.130581886049995</v>
      </c>
      <c r="N1032" s="526">
        <v>60</v>
      </c>
      <c r="O1032" s="563">
        <f t="shared" ref="O1032:O1095" si="84">IF(AND(K1032&lt;&gt;0,N1032&lt;&gt;0),K1032/N1032,0)</f>
        <v>82.6</v>
      </c>
      <c r="P1032" s="564">
        <f t="shared" ref="P1032:P1095" ca="1" si="85">IF(B1032&lt;&gt;0,(ROUND((NOW()-B1032)/30,0)),0)</f>
        <v>32</v>
      </c>
      <c r="Q1032" s="552">
        <f t="shared" ca="1" si="83"/>
        <v>2312.8000000000002</v>
      </c>
      <c r="R1032" s="563">
        <f t="shared" ref="R1032:R1095" ca="1" si="86">IF(Q1032&lt;1,1,Q1032)</f>
        <v>2312.8000000000002</v>
      </c>
      <c r="S1032" s="565" t="s">
        <v>2042</v>
      </c>
    </row>
    <row r="1033" spans="2:19" ht="35.1" customHeight="1" x14ac:dyDescent="0.25">
      <c r="B1033" s="861">
        <v>44883</v>
      </c>
      <c r="C1033" s="583" t="s">
        <v>2349</v>
      </c>
      <c r="D1033" s="583"/>
      <c r="E1033" s="548" t="s">
        <v>2039</v>
      </c>
      <c r="F1033" s="548" t="s">
        <v>2094</v>
      </c>
      <c r="G1033" s="549" t="s">
        <v>2041</v>
      </c>
      <c r="H1033" s="584">
        <v>202205061025</v>
      </c>
      <c r="I1033" s="548" t="s">
        <v>1796</v>
      </c>
      <c r="J1033" s="575" t="s">
        <v>1594</v>
      </c>
      <c r="K1033" s="580">
        <v>4956</v>
      </c>
      <c r="L1033" s="580">
        <v>54.383499999999998</v>
      </c>
      <c r="M1033" s="552">
        <f t="shared" si="82"/>
        <v>91.130581886049995</v>
      </c>
      <c r="N1033" s="526">
        <v>60</v>
      </c>
      <c r="O1033" s="563">
        <f t="shared" si="84"/>
        <v>82.6</v>
      </c>
      <c r="P1033" s="564">
        <f t="shared" ca="1" si="85"/>
        <v>32</v>
      </c>
      <c r="Q1033" s="552">
        <f t="shared" ca="1" si="83"/>
        <v>2312.8000000000002</v>
      </c>
      <c r="R1033" s="563">
        <f t="shared" ca="1" si="86"/>
        <v>2312.8000000000002</v>
      </c>
      <c r="S1033" s="565" t="s">
        <v>2042</v>
      </c>
    </row>
    <row r="1034" spans="2:19" ht="35.1" customHeight="1" x14ac:dyDescent="0.25">
      <c r="B1034" s="861">
        <v>44883</v>
      </c>
      <c r="C1034" s="583" t="s">
        <v>2349</v>
      </c>
      <c r="D1034" s="583"/>
      <c r="E1034" s="548" t="s">
        <v>2039</v>
      </c>
      <c r="F1034" s="548" t="s">
        <v>2095</v>
      </c>
      <c r="G1034" s="549" t="s">
        <v>2041</v>
      </c>
      <c r="H1034" s="584">
        <v>202205061480</v>
      </c>
      <c r="I1034" s="548" t="s">
        <v>1796</v>
      </c>
      <c r="J1034" s="575" t="s">
        <v>1594</v>
      </c>
      <c r="K1034" s="580">
        <v>4956</v>
      </c>
      <c r="L1034" s="580">
        <v>54.383499999999998</v>
      </c>
      <c r="M1034" s="552">
        <f t="shared" si="82"/>
        <v>91.130581886049995</v>
      </c>
      <c r="N1034" s="526">
        <v>60</v>
      </c>
      <c r="O1034" s="563">
        <f t="shared" si="84"/>
        <v>82.6</v>
      </c>
      <c r="P1034" s="564">
        <f t="shared" ca="1" si="85"/>
        <v>32</v>
      </c>
      <c r="Q1034" s="552">
        <f t="shared" ca="1" si="83"/>
        <v>2312.8000000000002</v>
      </c>
      <c r="R1034" s="563">
        <f t="shared" ca="1" si="86"/>
        <v>2312.8000000000002</v>
      </c>
      <c r="S1034" s="565" t="s">
        <v>2042</v>
      </c>
    </row>
    <row r="1035" spans="2:19" ht="35.1" customHeight="1" x14ac:dyDescent="0.25">
      <c r="B1035" s="861">
        <v>44883</v>
      </c>
      <c r="C1035" s="583" t="s">
        <v>2349</v>
      </c>
      <c r="D1035" s="583"/>
      <c r="E1035" s="548" t="s">
        <v>2039</v>
      </c>
      <c r="F1035" s="548" t="s">
        <v>2096</v>
      </c>
      <c r="G1035" s="549" t="s">
        <v>2041</v>
      </c>
      <c r="H1035" s="584">
        <v>202205061483</v>
      </c>
      <c r="I1035" s="548" t="s">
        <v>1796</v>
      </c>
      <c r="J1035" s="575" t="s">
        <v>1594</v>
      </c>
      <c r="K1035" s="580">
        <v>4956</v>
      </c>
      <c r="L1035" s="580">
        <v>54.383499999999998</v>
      </c>
      <c r="M1035" s="552">
        <f t="shared" si="82"/>
        <v>91.130581886049995</v>
      </c>
      <c r="N1035" s="526">
        <v>60</v>
      </c>
      <c r="O1035" s="563">
        <f t="shared" si="84"/>
        <v>82.6</v>
      </c>
      <c r="P1035" s="564">
        <f t="shared" ca="1" si="85"/>
        <v>32</v>
      </c>
      <c r="Q1035" s="552">
        <f t="shared" ca="1" si="83"/>
        <v>2312.8000000000002</v>
      </c>
      <c r="R1035" s="563">
        <f t="shared" ca="1" si="86"/>
        <v>2312.8000000000002</v>
      </c>
      <c r="S1035" s="565" t="s">
        <v>2042</v>
      </c>
    </row>
    <row r="1036" spans="2:19" ht="45" customHeight="1" x14ac:dyDescent="0.25">
      <c r="B1036" s="861">
        <v>44893</v>
      </c>
      <c r="C1036" s="583" t="s">
        <v>2349</v>
      </c>
      <c r="D1036" s="583"/>
      <c r="E1036" s="548" t="s">
        <v>2097</v>
      </c>
      <c r="F1036" s="548" t="s">
        <v>2117</v>
      </c>
      <c r="G1036" s="549" t="s">
        <v>2118</v>
      </c>
      <c r="H1036" s="584" t="s">
        <v>28</v>
      </c>
      <c r="I1036" s="515" t="s">
        <v>1443</v>
      </c>
      <c r="J1036" s="513" t="s">
        <v>4080</v>
      </c>
      <c r="K1036" s="580">
        <v>11463.7</v>
      </c>
      <c r="L1036" s="580">
        <v>54.114800000000002</v>
      </c>
      <c r="M1036" s="552">
        <f t="shared" si="82"/>
        <v>211.84038377671175</v>
      </c>
      <c r="N1036" s="526">
        <v>60</v>
      </c>
      <c r="O1036" s="563">
        <f t="shared" si="84"/>
        <v>191.06166666666667</v>
      </c>
      <c r="P1036" s="564">
        <f t="shared" ca="1" si="85"/>
        <v>32</v>
      </c>
      <c r="Q1036" s="552">
        <f t="shared" ca="1" si="83"/>
        <v>5349.7266666666674</v>
      </c>
      <c r="R1036" s="563">
        <f t="shared" ca="1" si="86"/>
        <v>5349.7266666666674</v>
      </c>
      <c r="S1036" s="565" t="s">
        <v>2100</v>
      </c>
    </row>
    <row r="1037" spans="2:19" ht="45" customHeight="1" x14ac:dyDescent="0.25">
      <c r="B1037" s="861">
        <v>44893</v>
      </c>
      <c r="C1037" s="583" t="s">
        <v>2349</v>
      </c>
      <c r="D1037" s="583"/>
      <c r="E1037" s="548" t="s">
        <v>2097</v>
      </c>
      <c r="F1037" s="548" t="s">
        <v>2119</v>
      </c>
      <c r="G1037" s="549" t="s">
        <v>2118</v>
      </c>
      <c r="H1037" s="584" t="s">
        <v>28</v>
      </c>
      <c r="I1037" s="515" t="s">
        <v>1443</v>
      </c>
      <c r="J1037" s="513" t="s">
        <v>4081</v>
      </c>
      <c r="K1037" s="580">
        <v>11463.7</v>
      </c>
      <c r="L1037" s="580">
        <v>54.114800000000002</v>
      </c>
      <c r="M1037" s="552">
        <f t="shared" si="82"/>
        <v>211.84038377671175</v>
      </c>
      <c r="N1037" s="526">
        <v>60</v>
      </c>
      <c r="O1037" s="563">
        <f t="shared" si="84"/>
        <v>191.06166666666667</v>
      </c>
      <c r="P1037" s="564">
        <f t="shared" ca="1" si="85"/>
        <v>32</v>
      </c>
      <c r="Q1037" s="552">
        <f t="shared" ca="1" si="83"/>
        <v>5349.7266666666674</v>
      </c>
      <c r="R1037" s="563">
        <f t="shared" ca="1" si="86"/>
        <v>5349.7266666666674</v>
      </c>
      <c r="S1037" s="565" t="s">
        <v>2100</v>
      </c>
    </row>
    <row r="1038" spans="2:19" ht="45" customHeight="1" x14ac:dyDescent="0.25">
      <c r="B1038" s="861">
        <v>44893</v>
      </c>
      <c r="C1038" s="583" t="s">
        <v>2349</v>
      </c>
      <c r="D1038" s="583"/>
      <c r="E1038" s="548" t="s">
        <v>2097</v>
      </c>
      <c r="F1038" s="548" t="s">
        <v>2120</v>
      </c>
      <c r="G1038" s="549" t="s">
        <v>2118</v>
      </c>
      <c r="H1038" s="584" t="s">
        <v>28</v>
      </c>
      <c r="I1038" s="515" t="s">
        <v>1443</v>
      </c>
      <c r="J1038" s="513" t="s">
        <v>4081</v>
      </c>
      <c r="K1038" s="580">
        <v>11463.7</v>
      </c>
      <c r="L1038" s="580">
        <v>54.114800000000002</v>
      </c>
      <c r="M1038" s="552">
        <f t="shared" ref="M1038:M1101" si="87">+K1038/L1038</f>
        <v>211.84038377671175</v>
      </c>
      <c r="N1038" s="526">
        <v>60</v>
      </c>
      <c r="O1038" s="563">
        <f t="shared" si="84"/>
        <v>191.06166666666667</v>
      </c>
      <c r="P1038" s="564">
        <f t="shared" ca="1" si="85"/>
        <v>32</v>
      </c>
      <c r="Q1038" s="552">
        <f t="shared" ca="1" si="83"/>
        <v>5349.7266666666674</v>
      </c>
      <c r="R1038" s="563">
        <f t="shared" ca="1" si="86"/>
        <v>5349.7266666666674</v>
      </c>
      <c r="S1038" s="565" t="s">
        <v>2100</v>
      </c>
    </row>
    <row r="1039" spans="2:19" ht="45" customHeight="1" x14ac:dyDescent="0.25">
      <c r="B1039" s="861">
        <v>44893</v>
      </c>
      <c r="C1039" s="583" t="s">
        <v>2349</v>
      </c>
      <c r="D1039" s="583"/>
      <c r="E1039" s="548" t="s">
        <v>2097</v>
      </c>
      <c r="F1039" s="548" t="s">
        <v>2121</v>
      </c>
      <c r="G1039" s="549" t="s">
        <v>2118</v>
      </c>
      <c r="H1039" s="584" t="s">
        <v>28</v>
      </c>
      <c r="I1039" s="515" t="s">
        <v>4079</v>
      </c>
      <c r="J1039" s="513" t="s">
        <v>4077</v>
      </c>
      <c r="K1039" s="580">
        <v>11463.7</v>
      </c>
      <c r="L1039" s="580">
        <v>54.114800000000002</v>
      </c>
      <c r="M1039" s="552">
        <f t="shared" si="87"/>
        <v>211.84038377671175</v>
      </c>
      <c r="N1039" s="526">
        <v>60</v>
      </c>
      <c r="O1039" s="563">
        <f t="shared" si="84"/>
        <v>191.06166666666667</v>
      </c>
      <c r="P1039" s="564">
        <f t="shared" ca="1" si="85"/>
        <v>32</v>
      </c>
      <c r="Q1039" s="552">
        <f t="shared" ca="1" si="83"/>
        <v>5349.7266666666674</v>
      </c>
      <c r="R1039" s="563">
        <f t="shared" ca="1" si="86"/>
        <v>5349.7266666666674</v>
      </c>
      <c r="S1039" s="565" t="s">
        <v>2100</v>
      </c>
    </row>
    <row r="1040" spans="2:19" ht="45" customHeight="1" x14ac:dyDescent="0.25">
      <c r="B1040" s="861">
        <v>44893</v>
      </c>
      <c r="C1040" s="583" t="s">
        <v>2349</v>
      </c>
      <c r="D1040" s="583"/>
      <c r="E1040" s="548" t="s">
        <v>2097</v>
      </c>
      <c r="F1040" s="548" t="s">
        <v>2098</v>
      </c>
      <c r="G1040" s="549" t="s">
        <v>2099</v>
      </c>
      <c r="H1040" s="584" t="s">
        <v>28</v>
      </c>
      <c r="I1040" s="515" t="s">
        <v>1443</v>
      </c>
      <c r="J1040" s="513" t="s">
        <v>4383</v>
      </c>
      <c r="K1040" s="580">
        <v>13983</v>
      </c>
      <c r="L1040" s="580">
        <v>54.114800000000002</v>
      </c>
      <c r="M1040" s="552">
        <f t="shared" si="87"/>
        <v>258.39511556912339</v>
      </c>
      <c r="N1040" s="526">
        <v>60</v>
      </c>
      <c r="O1040" s="563">
        <f t="shared" si="84"/>
        <v>233.05</v>
      </c>
      <c r="P1040" s="564">
        <f t="shared" ca="1" si="85"/>
        <v>32</v>
      </c>
      <c r="Q1040" s="552">
        <f t="shared" ca="1" si="83"/>
        <v>6525.4</v>
      </c>
      <c r="R1040" s="563">
        <f t="shared" ca="1" si="86"/>
        <v>6525.4</v>
      </c>
      <c r="S1040" s="565" t="s">
        <v>2100</v>
      </c>
    </row>
    <row r="1041" spans="2:19" ht="45" customHeight="1" x14ac:dyDescent="0.25">
      <c r="B1041" s="861">
        <v>44893</v>
      </c>
      <c r="C1041" s="583" t="s">
        <v>2349</v>
      </c>
      <c r="D1041" s="583"/>
      <c r="E1041" s="548" t="s">
        <v>2097</v>
      </c>
      <c r="F1041" s="548" t="s">
        <v>2101</v>
      </c>
      <c r="G1041" s="549" t="s">
        <v>2099</v>
      </c>
      <c r="H1041" s="584" t="s">
        <v>28</v>
      </c>
      <c r="I1041" s="515" t="s">
        <v>1443</v>
      </c>
      <c r="J1041" s="513" t="s">
        <v>4383</v>
      </c>
      <c r="K1041" s="580">
        <v>13983</v>
      </c>
      <c r="L1041" s="580">
        <v>54.114800000000002</v>
      </c>
      <c r="M1041" s="552">
        <f t="shared" si="87"/>
        <v>258.39511556912339</v>
      </c>
      <c r="N1041" s="526">
        <v>60</v>
      </c>
      <c r="O1041" s="563">
        <f t="shared" si="84"/>
        <v>233.05</v>
      </c>
      <c r="P1041" s="564">
        <f t="shared" ca="1" si="85"/>
        <v>32</v>
      </c>
      <c r="Q1041" s="552">
        <f t="shared" ca="1" si="83"/>
        <v>6525.4</v>
      </c>
      <c r="R1041" s="563">
        <f t="shared" ca="1" si="86"/>
        <v>6525.4</v>
      </c>
      <c r="S1041" s="565" t="s">
        <v>2100</v>
      </c>
    </row>
    <row r="1042" spans="2:19" ht="46.5" customHeight="1" x14ac:dyDescent="0.25">
      <c r="B1042" s="861">
        <v>44893</v>
      </c>
      <c r="C1042" s="583" t="s">
        <v>2349</v>
      </c>
      <c r="D1042" s="583"/>
      <c r="E1042" s="548" t="s">
        <v>2097</v>
      </c>
      <c r="F1042" s="548" t="s">
        <v>2102</v>
      </c>
      <c r="G1042" s="549" t="s">
        <v>2099</v>
      </c>
      <c r="H1042" s="584" t="s">
        <v>28</v>
      </c>
      <c r="I1042" s="515" t="s">
        <v>1443</v>
      </c>
      <c r="J1042" s="513" t="s">
        <v>4383</v>
      </c>
      <c r="K1042" s="580">
        <v>13983</v>
      </c>
      <c r="L1042" s="580">
        <v>54.114800000000002</v>
      </c>
      <c r="M1042" s="552">
        <f t="shared" si="87"/>
        <v>258.39511556912339</v>
      </c>
      <c r="N1042" s="526">
        <v>60</v>
      </c>
      <c r="O1042" s="563">
        <f t="shared" si="84"/>
        <v>233.05</v>
      </c>
      <c r="P1042" s="564">
        <f t="shared" ca="1" si="85"/>
        <v>32</v>
      </c>
      <c r="Q1042" s="552">
        <f t="shared" ca="1" si="83"/>
        <v>6525.4</v>
      </c>
      <c r="R1042" s="563">
        <f t="shared" ca="1" si="86"/>
        <v>6525.4</v>
      </c>
      <c r="S1042" s="565" t="s">
        <v>2100</v>
      </c>
    </row>
    <row r="1043" spans="2:19" ht="51.75" customHeight="1" x14ac:dyDescent="0.25">
      <c r="B1043" s="861">
        <v>44893</v>
      </c>
      <c r="C1043" s="583" t="s">
        <v>2349</v>
      </c>
      <c r="D1043" s="583"/>
      <c r="E1043" s="548" t="s">
        <v>2097</v>
      </c>
      <c r="F1043" s="548" t="s">
        <v>2103</v>
      </c>
      <c r="G1043" s="549" t="s">
        <v>2099</v>
      </c>
      <c r="H1043" s="584" t="s">
        <v>28</v>
      </c>
      <c r="I1043" s="515" t="s">
        <v>1443</v>
      </c>
      <c r="J1043" s="513" t="s">
        <v>4383</v>
      </c>
      <c r="K1043" s="580">
        <v>13983</v>
      </c>
      <c r="L1043" s="580">
        <v>54.114800000000002</v>
      </c>
      <c r="M1043" s="552">
        <f t="shared" si="87"/>
        <v>258.39511556912339</v>
      </c>
      <c r="N1043" s="526">
        <v>60</v>
      </c>
      <c r="O1043" s="563">
        <f t="shared" si="84"/>
        <v>233.05</v>
      </c>
      <c r="P1043" s="564">
        <f t="shared" ca="1" si="85"/>
        <v>32</v>
      </c>
      <c r="Q1043" s="552">
        <f t="shared" ca="1" si="83"/>
        <v>6525.4</v>
      </c>
      <c r="R1043" s="563">
        <f t="shared" ca="1" si="86"/>
        <v>6525.4</v>
      </c>
      <c r="S1043" s="565" t="s">
        <v>2100</v>
      </c>
    </row>
    <row r="1044" spans="2:19" ht="45.75" customHeight="1" x14ac:dyDescent="0.25">
      <c r="B1044" s="861">
        <v>44893</v>
      </c>
      <c r="C1044" s="583" t="s">
        <v>2349</v>
      </c>
      <c r="D1044" s="583"/>
      <c r="E1044" s="548" t="s">
        <v>2097</v>
      </c>
      <c r="F1044" s="548" t="s">
        <v>2104</v>
      </c>
      <c r="G1044" s="549" t="s">
        <v>2099</v>
      </c>
      <c r="H1044" s="584" t="s">
        <v>28</v>
      </c>
      <c r="I1044" s="515" t="s">
        <v>1443</v>
      </c>
      <c r="J1044" s="513" t="s">
        <v>4383</v>
      </c>
      <c r="K1044" s="580">
        <v>13983</v>
      </c>
      <c r="L1044" s="580">
        <v>54.114800000000002</v>
      </c>
      <c r="M1044" s="552">
        <f t="shared" si="87"/>
        <v>258.39511556912339</v>
      </c>
      <c r="N1044" s="526">
        <v>60</v>
      </c>
      <c r="O1044" s="563">
        <f t="shared" si="84"/>
        <v>233.05</v>
      </c>
      <c r="P1044" s="564">
        <f t="shared" ca="1" si="85"/>
        <v>32</v>
      </c>
      <c r="Q1044" s="552">
        <f t="shared" ca="1" si="83"/>
        <v>6525.4</v>
      </c>
      <c r="R1044" s="563">
        <f t="shared" ca="1" si="86"/>
        <v>6525.4</v>
      </c>
      <c r="S1044" s="565" t="s">
        <v>2100</v>
      </c>
    </row>
    <row r="1045" spans="2:19" ht="35.1" customHeight="1" x14ac:dyDescent="0.25">
      <c r="B1045" s="861">
        <v>44893</v>
      </c>
      <c r="C1045" s="583" t="s">
        <v>2349</v>
      </c>
      <c r="D1045" s="583"/>
      <c r="E1045" s="548" t="s">
        <v>2097</v>
      </c>
      <c r="F1045" s="548" t="s">
        <v>2105</v>
      </c>
      <c r="G1045" s="549" t="s">
        <v>2099</v>
      </c>
      <c r="H1045" s="584" t="s">
        <v>28</v>
      </c>
      <c r="I1045" s="515" t="s">
        <v>1443</v>
      </c>
      <c r="J1045" s="513" t="s">
        <v>4383</v>
      </c>
      <c r="K1045" s="580">
        <v>13983</v>
      </c>
      <c r="L1045" s="580">
        <v>54.114800000000002</v>
      </c>
      <c r="M1045" s="552">
        <f t="shared" si="87"/>
        <v>258.39511556912339</v>
      </c>
      <c r="N1045" s="526">
        <v>60</v>
      </c>
      <c r="O1045" s="563">
        <f t="shared" si="84"/>
        <v>233.05</v>
      </c>
      <c r="P1045" s="564">
        <f t="shared" ca="1" si="85"/>
        <v>32</v>
      </c>
      <c r="Q1045" s="552">
        <f t="shared" ca="1" si="83"/>
        <v>6525.4</v>
      </c>
      <c r="R1045" s="563">
        <f t="shared" ca="1" si="86"/>
        <v>6525.4</v>
      </c>
      <c r="S1045" s="565" t="s">
        <v>2100</v>
      </c>
    </row>
    <row r="1046" spans="2:19" ht="35.1" customHeight="1" x14ac:dyDescent="0.25">
      <c r="B1046" s="861">
        <v>44893</v>
      </c>
      <c r="C1046" s="583" t="s">
        <v>2349</v>
      </c>
      <c r="D1046" s="583"/>
      <c r="E1046" s="548" t="s">
        <v>2097</v>
      </c>
      <c r="F1046" s="548" t="s">
        <v>2106</v>
      </c>
      <c r="G1046" s="549" t="s">
        <v>2099</v>
      </c>
      <c r="H1046" s="584" t="s">
        <v>28</v>
      </c>
      <c r="I1046" s="515" t="s">
        <v>1443</v>
      </c>
      <c r="J1046" s="513" t="s">
        <v>4081</v>
      </c>
      <c r="K1046" s="580">
        <v>13983</v>
      </c>
      <c r="L1046" s="580">
        <v>54.114800000000002</v>
      </c>
      <c r="M1046" s="552">
        <f t="shared" si="87"/>
        <v>258.39511556912339</v>
      </c>
      <c r="N1046" s="526">
        <v>60</v>
      </c>
      <c r="O1046" s="563">
        <f t="shared" si="84"/>
        <v>233.05</v>
      </c>
      <c r="P1046" s="564">
        <f t="shared" ca="1" si="85"/>
        <v>32</v>
      </c>
      <c r="Q1046" s="552">
        <f t="shared" ca="1" si="83"/>
        <v>6525.4</v>
      </c>
      <c r="R1046" s="563">
        <f t="shared" ca="1" si="86"/>
        <v>6525.4</v>
      </c>
      <c r="S1046" s="565" t="s">
        <v>2100</v>
      </c>
    </row>
    <row r="1047" spans="2:19" ht="35.1" customHeight="1" x14ac:dyDescent="0.25">
      <c r="B1047" s="861">
        <v>44893</v>
      </c>
      <c r="C1047" s="583" t="s">
        <v>2349</v>
      </c>
      <c r="D1047" s="583"/>
      <c r="E1047" s="548" t="s">
        <v>2097</v>
      </c>
      <c r="F1047" s="548" t="s">
        <v>2107</v>
      </c>
      <c r="G1047" s="549" t="s">
        <v>2099</v>
      </c>
      <c r="H1047" s="584" t="s">
        <v>28</v>
      </c>
      <c r="I1047" s="515" t="s">
        <v>1443</v>
      </c>
      <c r="J1047" s="513" t="s">
        <v>4081</v>
      </c>
      <c r="K1047" s="580">
        <v>13983</v>
      </c>
      <c r="L1047" s="580">
        <v>54.114800000000002</v>
      </c>
      <c r="M1047" s="552">
        <f t="shared" si="87"/>
        <v>258.39511556912339</v>
      </c>
      <c r="N1047" s="526">
        <v>60</v>
      </c>
      <c r="O1047" s="563">
        <f t="shared" si="84"/>
        <v>233.05</v>
      </c>
      <c r="P1047" s="564">
        <f t="shared" ca="1" si="85"/>
        <v>32</v>
      </c>
      <c r="Q1047" s="552">
        <f t="shared" ca="1" si="83"/>
        <v>6525.4</v>
      </c>
      <c r="R1047" s="563">
        <f t="shared" ca="1" si="86"/>
        <v>6525.4</v>
      </c>
      <c r="S1047" s="565" t="s">
        <v>2100</v>
      </c>
    </row>
    <row r="1048" spans="2:19" ht="42.75" customHeight="1" x14ac:dyDescent="0.25">
      <c r="B1048" s="861">
        <v>44893</v>
      </c>
      <c r="C1048" s="583" t="s">
        <v>2349</v>
      </c>
      <c r="D1048" s="583"/>
      <c r="E1048" s="548" t="s">
        <v>2097</v>
      </c>
      <c r="F1048" s="548" t="s">
        <v>2108</v>
      </c>
      <c r="G1048" s="549" t="s">
        <v>2099</v>
      </c>
      <c r="H1048" s="584" t="s">
        <v>28</v>
      </c>
      <c r="I1048" s="515" t="s">
        <v>1443</v>
      </c>
      <c r="J1048" s="513" t="s">
        <v>4081</v>
      </c>
      <c r="K1048" s="580">
        <v>13983</v>
      </c>
      <c r="L1048" s="580">
        <v>54.114800000000002</v>
      </c>
      <c r="M1048" s="552">
        <f t="shared" si="87"/>
        <v>258.39511556912339</v>
      </c>
      <c r="N1048" s="526">
        <v>60</v>
      </c>
      <c r="O1048" s="563">
        <f t="shared" si="84"/>
        <v>233.05</v>
      </c>
      <c r="P1048" s="564">
        <f t="shared" ca="1" si="85"/>
        <v>32</v>
      </c>
      <c r="Q1048" s="552">
        <f t="shared" ca="1" si="83"/>
        <v>6525.4</v>
      </c>
      <c r="R1048" s="563">
        <f t="shared" ca="1" si="86"/>
        <v>6525.4</v>
      </c>
      <c r="S1048" s="565" t="s">
        <v>2100</v>
      </c>
    </row>
    <row r="1049" spans="2:19" ht="44.25" customHeight="1" x14ac:dyDescent="0.25">
      <c r="B1049" s="861">
        <v>44893</v>
      </c>
      <c r="C1049" s="583" t="s">
        <v>2349</v>
      </c>
      <c r="D1049" s="583"/>
      <c r="E1049" s="548" t="s">
        <v>2097</v>
      </c>
      <c r="F1049" s="548" t="s">
        <v>2109</v>
      </c>
      <c r="G1049" s="549" t="s">
        <v>2099</v>
      </c>
      <c r="H1049" s="584" t="s">
        <v>28</v>
      </c>
      <c r="I1049" s="515" t="s">
        <v>4079</v>
      </c>
      <c r="J1049" s="513" t="s">
        <v>4076</v>
      </c>
      <c r="K1049" s="580">
        <v>13983</v>
      </c>
      <c r="L1049" s="580">
        <v>54.114800000000002</v>
      </c>
      <c r="M1049" s="552">
        <f t="shared" si="87"/>
        <v>258.39511556912339</v>
      </c>
      <c r="N1049" s="526">
        <v>60</v>
      </c>
      <c r="O1049" s="563">
        <f t="shared" si="84"/>
        <v>233.05</v>
      </c>
      <c r="P1049" s="564">
        <f t="shared" ca="1" si="85"/>
        <v>32</v>
      </c>
      <c r="Q1049" s="552">
        <f t="shared" ca="1" si="83"/>
        <v>6525.4</v>
      </c>
      <c r="R1049" s="563">
        <f t="shared" ca="1" si="86"/>
        <v>6525.4</v>
      </c>
      <c r="S1049" s="565" t="s">
        <v>2100</v>
      </c>
    </row>
    <row r="1050" spans="2:19" ht="35.1" customHeight="1" x14ac:dyDescent="0.25">
      <c r="B1050" s="861">
        <v>44893</v>
      </c>
      <c r="C1050" s="583" t="s">
        <v>2349</v>
      </c>
      <c r="D1050" s="583"/>
      <c r="E1050" s="548" t="s">
        <v>2097</v>
      </c>
      <c r="F1050" s="548" t="s">
        <v>2110</v>
      </c>
      <c r="G1050" s="549" t="s">
        <v>2099</v>
      </c>
      <c r="H1050" s="584" t="s">
        <v>28</v>
      </c>
      <c r="I1050" s="515" t="s">
        <v>4079</v>
      </c>
      <c r="J1050" s="513" t="s">
        <v>4076</v>
      </c>
      <c r="K1050" s="580">
        <v>13983</v>
      </c>
      <c r="L1050" s="580">
        <v>54.114800000000002</v>
      </c>
      <c r="M1050" s="552">
        <f t="shared" si="87"/>
        <v>258.39511556912339</v>
      </c>
      <c r="N1050" s="526">
        <v>60</v>
      </c>
      <c r="O1050" s="563">
        <f t="shared" si="84"/>
        <v>233.05</v>
      </c>
      <c r="P1050" s="564">
        <f t="shared" ca="1" si="85"/>
        <v>32</v>
      </c>
      <c r="Q1050" s="552">
        <f t="shared" ca="1" si="83"/>
        <v>6525.4</v>
      </c>
      <c r="R1050" s="563">
        <f t="shared" ca="1" si="86"/>
        <v>6525.4</v>
      </c>
      <c r="S1050" s="565" t="s">
        <v>2100</v>
      </c>
    </row>
    <row r="1051" spans="2:19" ht="35.1" customHeight="1" x14ac:dyDescent="0.25">
      <c r="B1051" s="861">
        <v>44893</v>
      </c>
      <c r="C1051" s="583" t="s">
        <v>2349</v>
      </c>
      <c r="D1051" s="583"/>
      <c r="E1051" s="548" t="s">
        <v>2097</v>
      </c>
      <c r="F1051" s="548" t="s">
        <v>2111</v>
      </c>
      <c r="G1051" s="549" t="s">
        <v>2099</v>
      </c>
      <c r="H1051" s="584" t="s">
        <v>28</v>
      </c>
      <c r="I1051" s="515" t="s">
        <v>4079</v>
      </c>
      <c r="J1051" s="513" t="s">
        <v>4076</v>
      </c>
      <c r="K1051" s="580">
        <v>13983</v>
      </c>
      <c r="L1051" s="580">
        <v>54.114800000000002</v>
      </c>
      <c r="M1051" s="552">
        <f t="shared" si="87"/>
        <v>258.39511556912339</v>
      </c>
      <c r="N1051" s="526">
        <v>60</v>
      </c>
      <c r="O1051" s="563">
        <f t="shared" si="84"/>
        <v>233.05</v>
      </c>
      <c r="P1051" s="564">
        <f t="shared" ca="1" si="85"/>
        <v>32</v>
      </c>
      <c r="Q1051" s="552">
        <f t="shared" ca="1" si="83"/>
        <v>6525.4</v>
      </c>
      <c r="R1051" s="563">
        <f t="shared" ca="1" si="86"/>
        <v>6525.4</v>
      </c>
      <c r="S1051" s="565" t="s">
        <v>2100</v>
      </c>
    </row>
    <row r="1052" spans="2:19" ht="35.1" customHeight="1" x14ac:dyDescent="0.25">
      <c r="B1052" s="861">
        <v>44893</v>
      </c>
      <c r="C1052" s="583" t="s">
        <v>2349</v>
      </c>
      <c r="D1052" s="583"/>
      <c r="E1052" s="548" t="s">
        <v>2097</v>
      </c>
      <c r="F1052" s="548" t="s">
        <v>2112</v>
      </c>
      <c r="G1052" s="549" t="s">
        <v>2099</v>
      </c>
      <c r="H1052" s="584" t="s">
        <v>28</v>
      </c>
      <c r="I1052" s="515" t="s">
        <v>4079</v>
      </c>
      <c r="J1052" s="513" t="s">
        <v>4077</v>
      </c>
      <c r="K1052" s="580">
        <v>13983</v>
      </c>
      <c r="L1052" s="580">
        <v>54.114800000000002</v>
      </c>
      <c r="M1052" s="552">
        <f t="shared" si="87"/>
        <v>258.39511556912339</v>
      </c>
      <c r="N1052" s="526">
        <v>60</v>
      </c>
      <c r="O1052" s="563">
        <f t="shared" si="84"/>
        <v>233.05</v>
      </c>
      <c r="P1052" s="564">
        <f t="shared" ca="1" si="85"/>
        <v>32</v>
      </c>
      <c r="Q1052" s="552">
        <f t="shared" ca="1" si="83"/>
        <v>6525.4</v>
      </c>
      <c r="R1052" s="563">
        <f t="shared" ca="1" si="86"/>
        <v>6525.4</v>
      </c>
      <c r="S1052" s="565" t="s">
        <v>2100</v>
      </c>
    </row>
    <row r="1053" spans="2:19" ht="49.5" customHeight="1" x14ac:dyDescent="0.25">
      <c r="B1053" s="861">
        <v>44893</v>
      </c>
      <c r="C1053" s="583" t="s">
        <v>2349</v>
      </c>
      <c r="D1053" s="583"/>
      <c r="E1053" s="548" t="s">
        <v>2097</v>
      </c>
      <c r="F1053" s="548" t="s">
        <v>2113</v>
      </c>
      <c r="G1053" s="549" t="s">
        <v>2099</v>
      </c>
      <c r="H1053" s="584" t="s">
        <v>28</v>
      </c>
      <c r="I1053" s="515" t="s">
        <v>4079</v>
      </c>
      <c r="J1053" s="513" t="s">
        <v>4077</v>
      </c>
      <c r="K1053" s="580">
        <v>13983</v>
      </c>
      <c r="L1053" s="580">
        <v>54.114800000000002</v>
      </c>
      <c r="M1053" s="552">
        <f t="shared" si="87"/>
        <v>258.39511556912339</v>
      </c>
      <c r="N1053" s="526">
        <v>60</v>
      </c>
      <c r="O1053" s="563">
        <f t="shared" si="84"/>
        <v>233.05</v>
      </c>
      <c r="P1053" s="564">
        <f t="shared" ca="1" si="85"/>
        <v>32</v>
      </c>
      <c r="Q1053" s="552">
        <f t="shared" ca="1" si="83"/>
        <v>6525.4</v>
      </c>
      <c r="R1053" s="563">
        <f t="shared" ca="1" si="86"/>
        <v>6525.4</v>
      </c>
      <c r="S1053" s="565" t="s">
        <v>2100</v>
      </c>
    </row>
    <row r="1054" spans="2:19" ht="35.1" customHeight="1" x14ac:dyDescent="0.25">
      <c r="B1054" s="861">
        <v>44893</v>
      </c>
      <c r="C1054" s="583" t="s">
        <v>2349</v>
      </c>
      <c r="D1054" s="583"/>
      <c r="E1054" s="548" t="s">
        <v>2097</v>
      </c>
      <c r="F1054" s="548" t="s">
        <v>2114</v>
      </c>
      <c r="G1054" s="549" t="s">
        <v>2099</v>
      </c>
      <c r="H1054" s="584" t="s">
        <v>28</v>
      </c>
      <c r="I1054" s="515" t="s">
        <v>4079</v>
      </c>
      <c r="J1054" s="513" t="s">
        <v>4078</v>
      </c>
      <c r="K1054" s="580">
        <v>13983</v>
      </c>
      <c r="L1054" s="580">
        <v>54.114800000000002</v>
      </c>
      <c r="M1054" s="552">
        <f t="shared" si="87"/>
        <v>258.39511556912339</v>
      </c>
      <c r="N1054" s="526">
        <v>60</v>
      </c>
      <c r="O1054" s="563">
        <f t="shared" si="84"/>
        <v>233.05</v>
      </c>
      <c r="P1054" s="564">
        <f t="shared" ca="1" si="85"/>
        <v>32</v>
      </c>
      <c r="Q1054" s="552">
        <f t="shared" ca="1" si="83"/>
        <v>6525.4</v>
      </c>
      <c r="R1054" s="563">
        <f t="shared" ca="1" si="86"/>
        <v>6525.4</v>
      </c>
      <c r="S1054" s="565" t="s">
        <v>2100</v>
      </c>
    </row>
    <row r="1055" spans="2:19" ht="39.75" customHeight="1" x14ac:dyDescent="0.25">
      <c r="B1055" s="861">
        <v>44893</v>
      </c>
      <c r="C1055" s="583" t="s">
        <v>2349</v>
      </c>
      <c r="D1055" s="583"/>
      <c r="E1055" s="548" t="s">
        <v>2097</v>
      </c>
      <c r="F1055" s="548" t="s">
        <v>2115</v>
      </c>
      <c r="G1055" s="549" t="s">
        <v>2099</v>
      </c>
      <c r="H1055" s="584" t="s">
        <v>28</v>
      </c>
      <c r="I1055" s="515" t="s">
        <v>4079</v>
      </c>
      <c r="J1055" s="513" t="s">
        <v>4078</v>
      </c>
      <c r="K1055" s="580">
        <v>13983</v>
      </c>
      <c r="L1055" s="580">
        <v>54.114800000000002</v>
      </c>
      <c r="M1055" s="552">
        <f t="shared" si="87"/>
        <v>258.39511556912339</v>
      </c>
      <c r="N1055" s="526">
        <v>60</v>
      </c>
      <c r="O1055" s="563">
        <f t="shared" si="84"/>
        <v>233.05</v>
      </c>
      <c r="P1055" s="564">
        <f t="shared" ca="1" si="85"/>
        <v>32</v>
      </c>
      <c r="Q1055" s="552">
        <f t="shared" ca="1" si="83"/>
        <v>6525.4</v>
      </c>
      <c r="R1055" s="563">
        <f t="shared" ca="1" si="86"/>
        <v>6525.4</v>
      </c>
      <c r="S1055" s="565" t="s">
        <v>2100</v>
      </c>
    </row>
    <row r="1056" spans="2:19" ht="51.75" customHeight="1" x14ac:dyDescent="0.25">
      <c r="B1056" s="861">
        <v>44893</v>
      </c>
      <c r="C1056" s="583" t="s">
        <v>2349</v>
      </c>
      <c r="D1056" s="583"/>
      <c r="E1056" s="548" t="s">
        <v>2097</v>
      </c>
      <c r="F1056" s="548" t="s">
        <v>2116</v>
      </c>
      <c r="G1056" s="549" t="s">
        <v>2099</v>
      </c>
      <c r="H1056" s="584" t="s">
        <v>28</v>
      </c>
      <c r="I1056" s="515" t="s">
        <v>4079</v>
      </c>
      <c r="J1056" s="513" t="s">
        <v>4078</v>
      </c>
      <c r="K1056" s="580">
        <v>13983</v>
      </c>
      <c r="L1056" s="580">
        <v>54.114800000000002</v>
      </c>
      <c r="M1056" s="552">
        <f t="shared" si="87"/>
        <v>258.39511556912339</v>
      </c>
      <c r="N1056" s="526">
        <v>60</v>
      </c>
      <c r="O1056" s="563">
        <f t="shared" si="84"/>
        <v>233.05</v>
      </c>
      <c r="P1056" s="564">
        <f t="shared" ca="1" si="85"/>
        <v>32</v>
      </c>
      <c r="Q1056" s="552">
        <f t="shared" ca="1" si="83"/>
        <v>6525.4</v>
      </c>
      <c r="R1056" s="563">
        <f t="shared" ca="1" si="86"/>
        <v>6525.4</v>
      </c>
      <c r="S1056" s="565" t="s">
        <v>2100</v>
      </c>
    </row>
    <row r="1057" spans="2:19" ht="35.1" customHeight="1" x14ac:dyDescent="0.25">
      <c r="B1057" s="861">
        <v>44921</v>
      </c>
      <c r="C1057" s="583" t="s">
        <v>2349</v>
      </c>
      <c r="D1057" s="583"/>
      <c r="E1057" s="548" t="s">
        <v>2122</v>
      </c>
      <c r="F1057" s="585" t="s">
        <v>2129</v>
      </c>
      <c r="G1057" s="549" t="s">
        <v>2130</v>
      </c>
      <c r="H1057" s="584" t="s">
        <v>2131</v>
      </c>
      <c r="I1057" s="548" t="s">
        <v>2132</v>
      </c>
      <c r="J1057" s="641" t="s">
        <v>1594</v>
      </c>
      <c r="K1057" s="580">
        <v>3850.96</v>
      </c>
      <c r="L1057" s="580">
        <v>55.843200000000003</v>
      </c>
      <c r="M1057" s="552">
        <f t="shared" si="87"/>
        <v>68.960231505357854</v>
      </c>
      <c r="N1057" s="526">
        <v>60</v>
      </c>
      <c r="O1057" s="563">
        <f t="shared" si="84"/>
        <v>64.182666666666663</v>
      </c>
      <c r="P1057" s="564">
        <f t="shared" ca="1" si="85"/>
        <v>31</v>
      </c>
      <c r="Q1057" s="552">
        <f t="shared" ca="1" si="83"/>
        <v>1861.2973333333334</v>
      </c>
      <c r="R1057" s="563">
        <f t="shared" ca="1" si="86"/>
        <v>1861.2973333333334</v>
      </c>
      <c r="S1057" s="565" t="s">
        <v>61</v>
      </c>
    </row>
    <row r="1058" spans="2:19" ht="35.1" customHeight="1" x14ac:dyDescent="0.25">
      <c r="B1058" s="861">
        <v>44921</v>
      </c>
      <c r="C1058" s="583" t="s">
        <v>2349</v>
      </c>
      <c r="D1058" s="583"/>
      <c r="E1058" s="548" t="s">
        <v>2122</v>
      </c>
      <c r="F1058" s="585" t="s">
        <v>2133</v>
      </c>
      <c r="G1058" s="549" t="s">
        <v>2130</v>
      </c>
      <c r="H1058" s="584" t="s">
        <v>2134</v>
      </c>
      <c r="I1058" s="548" t="s">
        <v>2132</v>
      </c>
      <c r="J1058" s="641" t="s">
        <v>1594</v>
      </c>
      <c r="K1058" s="580">
        <v>3850.96</v>
      </c>
      <c r="L1058" s="580">
        <v>55.843200000000003</v>
      </c>
      <c r="M1058" s="552">
        <f t="shared" si="87"/>
        <v>68.960231505357854</v>
      </c>
      <c r="N1058" s="526">
        <v>60</v>
      </c>
      <c r="O1058" s="563">
        <f t="shared" si="84"/>
        <v>64.182666666666663</v>
      </c>
      <c r="P1058" s="564">
        <f t="shared" ca="1" si="85"/>
        <v>31</v>
      </c>
      <c r="Q1058" s="552">
        <f t="shared" ca="1" si="83"/>
        <v>1861.2973333333334</v>
      </c>
      <c r="R1058" s="563">
        <f t="shared" ca="1" si="86"/>
        <v>1861.2973333333334</v>
      </c>
      <c r="S1058" s="565" t="s">
        <v>61</v>
      </c>
    </row>
    <row r="1059" spans="2:19" ht="50.1" customHeight="1" x14ac:dyDescent="0.25">
      <c r="B1059" s="861">
        <v>44921</v>
      </c>
      <c r="C1059" s="583" t="s">
        <v>2349</v>
      </c>
      <c r="D1059" s="583"/>
      <c r="E1059" s="548" t="s">
        <v>2122</v>
      </c>
      <c r="F1059" s="585" t="s">
        <v>2135</v>
      </c>
      <c r="G1059" s="549" t="s">
        <v>2130</v>
      </c>
      <c r="H1059" s="584" t="s">
        <v>2136</v>
      </c>
      <c r="I1059" s="548" t="s">
        <v>2132</v>
      </c>
      <c r="J1059" s="641" t="s">
        <v>1594</v>
      </c>
      <c r="K1059" s="580">
        <v>3850.96</v>
      </c>
      <c r="L1059" s="580">
        <v>55.843200000000003</v>
      </c>
      <c r="M1059" s="552">
        <f t="shared" si="87"/>
        <v>68.960231505357854</v>
      </c>
      <c r="N1059" s="526">
        <v>60</v>
      </c>
      <c r="O1059" s="563">
        <f t="shared" si="84"/>
        <v>64.182666666666663</v>
      </c>
      <c r="P1059" s="564">
        <f t="shared" ca="1" si="85"/>
        <v>31</v>
      </c>
      <c r="Q1059" s="552">
        <f t="shared" ca="1" si="83"/>
        <v>1861.2973333333334</v>
      </c>
      <c r="R1059" s="563">
        <f t="shared" ca="1" si="86"/>
        <v>1861.2973333333334</v>
      </c>
      <c r="S1059" s="565" t="s">
        <v>61</v>
      </c>
    </row>
    <row r="1060" spans="2:19" ht="50.1" customHeight="1" x14ac:dyDescent="0.25">
      <c r="B1060" s="861">
        <v>44921</v>
      </c>
      <c r="C1060" s="583" t="s">
        <v>2349</v>
      </c>
      <c r="D1060" s="583"/>
      <c r="E1060" s="548" t="s">
        <v>2122</v>
      </c>
      <c r="F1060" s="585" t="s">
        <v>2137</v>
      </c>
      <c r="G1060" s="549" t="s">
        <v>2130</v>
      </c>
      <c r="H1060" s="584" t="s">
        <v>2138</v>
      </c>
      <c r="I1060" s="548" t="s">
        <v>2132</v>
      </c>
      <c r="J1060" s="641" t="s">
        <v>1594</v>
      </c>
      <c r="K1060" s="580">
        <v>3850.96</v>
      </c>
      <c r="L1060" s="580">
        <v>55.843200000000003</v>
      </c>
      <c r="M1060" s="552">
        <f t="shared" si="87"/>
        <v>68.960231505357854</v>
      </c>
      <c r="N1060" s="526">
        <v>60</v>
      </c>
      <c r="O1060" s="563">
        <f t="shared" si="84"/>
        <v>64.182666666666663</v>
      </c>
      <c r="P1060" s="564">
        <f t="shared" ca="1" si="85"/>
        <v>31</v>
      </c>
      <c r="Q1060" s="552">
        <f t="shared" ca="1" si="83"/>
        <v>1861.2973333333334</v>
      </c>
      <c r="R1060" s="563">
        <f t="shared" ca="1" si="86"/>
        <v>1861.2973333333334</v>
      </c>
      <c r="S1060" s="565" t="s">
        <v>61</v>
      </c>
    </row>
    <row r="1061" spans="2:19" ht="50.1" customHeight="1" x14ac:dyDescent="0.25">
      <c r="B1061" s="861">
        <v>44921</v>
      </c>
      <c r="C1061" s="583" t="s">
        <v>2349</v>
      </c>
      <c r="D1061" s="583"/>
      <c r="E1061" s="548" t="s">
        <v>2122</v>
      </c>
      <c r="F1061" s="585" t="s">
        <v>2139</v>
      </c>
      <c r="G1061" s="549" t="s">
        <v>2130</v>
      </c>
      <c r="H1061" s="584" t="s">
        <v>2140</v>
      </c>
      <c r="I1061" s="548" t="s">
        <v>2132</v>
      </c>
      <c r="J1061" s="641" t="s">
        <v>1594</v>
      </c>
      <c r="K1061" s="580">
        <v>3850.96</v>
      </c>
      <c r="L1061" s="580">
        <v>55.843200000000003</v>
      </c>
      <c r="M1061" s="552">
        <f t="shared" si="87"/>
        <v>68.960231505357854</v>
      </c>
      <c r="N1061" s="526">
        <v>60</v>
      </c>
      <c r="O1061" s="563">
        <f t="shared" si="84"/>
        <v>64.182666666666663</v>
      </c>
      <c r="P1061" s="564">
        <f t="shared" ca="1" si="85"/>
        <v>31</v>
      </c>
      <c r="Q1061" s="552">
        <f t="shared" ca="1" si="83"/>
        <v>1861.2973333333334</v>
      </c>
      <c r="R1061" s="563">
        <f t="shared" ca="1" si="86"/>
        <v>1861.2973333333334</v>
      </c>
      <c r="S1061" s="565" t="s">
        <v>61</v>
      </c>
    </row>
    <row r="1062" spans="2:19" ht="50.1" customHeight="1" x14ac:dyDescent="0.25">
      <c r="B1062" s="861">
        <v>44921</v>
      </c>
      <c r="C1062" s="583" t="s">
        <v>2349</v>
      </c>
      <c r="D1062" s="583"/>
      <c r="E1062" s="548" t="s">
        <v>2122</v>
      </c>
      <c r="F1062" s="585" t="s">
        <v>2141</v>
      </c>
      <c r="G1062" s="549" t="s">
        <v>2130</v>
      </c>
      <c r="H1062" s="584" t="s">
        <v>2142</v>
      </c>
      <c r="I1062" s="548" t="s">
        <v>2132</v>
      </c>
      <c r="J1062" s="641" t="s">
        <v>1594</v>
      </c>
      <c r="K1062" s="580">
        <v>3850.96</v>
      </c>
      <c r="L1062" s="580">
        <v>55.843200000000003</v>
      </c>
      <c r="M1062" s="552">
        <f t="shared" si="87"/>
        <v>68.960231505357854</v>
      </c>
      <c r="N1062" s="526">
        <v>60</v>
      </c>
      <c r="O1062" s="563">
        <f t="shared" si="84"/>
        <v>64.182666666666663</v>
      </c>
      <c r="P1062" s="564">
        <f t="shared" ca="1" si="85"/>
        <v>31</v>
      </c>
      <c r="Q1062" s="552">
        <f t="shared" ca="1" si="83"/>
        <v>1861.2973333333334</v>
      </c>
      <c r="R1062" s="563">
        <f t="shared" ca="1" si="86"/>
        <v>1861.2973333333334</v>
      </c>
      <c r="S1062" s="565" t="s">
        <v>61</v>
      </c>
    </row>
    <row r="1063" spans="2:19" ht="50.1" customHeight="1" x14ac:dyDescent="0.25">
      <c r="B1063" s="861">
        <v>44921</v>
      </c>
      <c r="C1063" s="583" t="s">
        <v>2349</v>
      </c>
      <c r="D1063" s="583"/>
      <c r="E1063" s="548" t="s">
        <v>2122</v>
      </c>
      <c r="F1063" s="585" t="s">
        <v>2143</v>
      </c>
      <c r="G1063" s="549" t="s">
        <v>2130</v>
      </c>
      <c r="H1063" s="584" t="s">
        <v>2144</v>
      </c>
      <c r="I1063" s="548" t="s">
        <v>2132</v>
      </c>
      <c r="J1063" s="641" t="s">
        <v>1594</v>
      </c>
      <c r="K1063" s="580">
        <v>3850.96</v>
      </c>
      <c r="L1063" s="580">
        <v>55.843200000000003</v>
      </c>
      <c r="M1063" s="552">
        <f t="shared" si="87"/>
        <v>68.960231505357854</v>
      </c>
      <c r="N1063" s="526">
        <v>60</v>
      </c>
      <c r="O1063" s="563">
        <f t="shared" si="84"/>
        <v>64.182666666666663</v>
      </c>
      <c r="P1063" s="564">
        <f t="shared" ca="1" si="85"/>
        <v>31</v>
      </c>
      <c r="Q1063" s="552">
        <f t="shared" ca="1" si="83"/>
        <v>1861.2973333333334</v>
      </c>
      <c r="R1063" s="563">
        <f t="shared" ca="1" si="86"/>
        <v>1861.2973333333334</v>
      </c>
      <c r="S1063" s="565" t="s">
        <v>61</v>
      </c>
    </row>
    <row r="1064" spans="2:19" ht="50.1" customHeight="1" x14ac:dyDescent="0.25">
      <c r="B1064" s="861">
        <v>44921</v>
      </c>
      <c r="C1064" s="583" t="s">
        <v>2349</v>
      </c>
      <c r="D1064" s="583"/>
      <c r="E1064" s="548" t="s">
        <v>2122</v>
      </c>
      <c r="F1064" s="585" t="s">
        <v>2145</v>
      </c>
      <c r="G1064" s="549" t="s">
        <v>2130</v>
      </c>
      <c r="H1064" s="584" t="s">
        <v>2146</v>
      </c>
      <c r="I1064" s="548" t="s">
        <v>2132</v>
      </c>
      <c r="J1064" s="641" t="s">
        <v>1594</v>
      </c>
      <c r="K1064" s="580">
        <v>3850.96</v>
      </c>
      <c r="L1064" s="580">
        <v>55.843200000000003</v>
      </c>
      <c r="M1064" s="552">
        <f t="shared" si="87"/>
        <v>68.960231505357854</v>
      </c>
      <c r="N1064" s="526">
        <v>60</v>
      </c>
      <c r="O1064" s="563">
        <f t="shared" si="84"/>
        <v>64.182666666666663</v>
      </c>
      <c r="P1064" s="564">
        <f t="shared" ca="1" si="85"/>
        <v>31</v>
      </c>
      <c r="Q1064" s="552">
        <f t="shared" ca="1" si="83"/>
        <v>1861.2973333333334</v>
      </c>
      <c r="R1064" s="563">
        <f t="shared" ca="1" si="86"/>
        <v>1861.2973333333334</v>
      </c>
      <c r="S1064" s="565" t="s">
        <v>61</v>
      </c>
    </row>
    <row r="1065" spans="2:19" ht="50.1" customHeight="1" x14ac:dyDescent="0.25">
      <c r="B1065" s="861">
        <v>44921</v>
      </c>
      <c r="C1065" s="583" t="s">
        <v>2349</v>
      </c>
      <c r="D1065" s="583"/>
      <c r="E1065" s="548" t="s">
        <v>2122</v>
      </c>
      <c r="F1065" s="585" t="s">
        <v>2147</v>
      </c>
      <c r="G1065" s="549" t="s">
        <v>2130</v>
      </c>
      <c r="H1065" s="584" t="s">
        <v>2148</v>
      </c>
      <c r="I1065" s="548" t="s">
        <v>2132</v>
      </c>
      <c r="J1065" s="641" t="s">
        <v>1594</v>
      </c>
      <c r="K1065" s="580">
        <v>3850.96</v>
      </c>
      <c r="L1065" s="580">
        <v>55.843200000000003</v>
      </c>
      <c r="M1065" s="552">
        <f t="shared" si="87"/>
        <v>68.960231505357854</v>
      </c>
      <c r="N1065" s="526">
        <v>60</v>
      </c>
      <c r="O1065" s="563">
        <f t="shared" si="84"/>
        <v>64.182666666666663</v>
      </c>
      <c r="P1065" s="564">
        <f t="shared" ca="1" si="85"/>
        <v>31</v>
      </c>
      <c r="Q1065" s="552">
        <f t="shared" ca="1" si="83"/>
        <v>1861.2973333333334</v>
      </c>
      <c r="R1065" s="563">
        <f t="shared" ca="1" si="86"/>
        <v>1861.2973333333334</v>
      </c>
      <c r="S1065" s="565" t="s">
        <v>61</v>
      </c>
    </row>
    <row r="1066" spans="2:19" ht="50.1" customHeight="1" x14ac:dyDescent="0.25">
      <c r="B1066" s="861">
        <v>44921</v>
      </c>
      <c r="C1066" s="583" t="s">
        <v>2349</v>
      </c>
      <c r="D1066" s="583"/>
      <c r="E1066" s="548" t="s">
        <v>2122</v>
      </c>
      <c r="F1066" s="585" t="s">
        <v>2149</v>
      </c>
      <c r="G1066" s="549" t="s">
        <v>2130</v>
      </c>
      <c r="H1066" s="584" t="s">
        <v>2150</v>
      </c>
      <c r="I1066" s="548" t="s">
        <v>2132</v>
      </c>
      <c r="J1066" s="641" t="s">
        <v>1594</v>
      </c>
      <c r="K1066" s="580">
        <v>3850.96</v>
      </c>
      <c r="L1066" s="580">
        <v>55.843200000000003</v>
      </c>
      <c r="M1066" s="552">
        <f t="shared" si="87"/>
        <v>68.960231505357854</v>
      </c>
      <c r="N1066" s="526">
        <v>60</v>
      </c>
      <c r="O1066" s="563">
        <f t="shared" si="84"/>
        <v>64.182666666666663</v>
      </c>
      <c r="P1066" s="564">
        <f t="shared" ca="1" si="85"/>
        <v>31</v>
      </c>
      <c r="Q1066" s="552">
        <f t="shared" ca="1" si="83"/>
        <v>1861.2973333333334</v>
      </c>
      <c r="R1066" s="563">
        <f t="shared" ca="1" si="86"/>
        <v>1861.2973333333334</v>
      </c>
      <c r="S1066" s="565" t="s">
        <v>61</v>
      </c>
    </row>
    <row r="1067" spans="2:19" ht="50.1" customHeight="1" x14ac:dyDescent="0.25">
      <c r="B1067" s="861">
        <v>44921</v>
      </c>
      <c r="C1067" s="583" t="s">
        <v>2349</v>
      </c>
      <c r="D1067" s="583"/>
      <c r="E1067" s="548" t="s">
        <v>2122</v>
      </c>
      <c r="F1067" s="585" t="s">
        <v>2151</v>
      </c>
      <c r="G1067" s="549" t="s">
        <v>2130</v>
      </c>
      <c r="H1067" s="584" t="s">
        <v>2152</v>
      </c>
      <c r="I1067" s="548" t="s">
        <v>2132</v>
      </c>
      <c r="J1067" s="641" t="s">
        <v>1594</v>
      </c>
      <c r="K1067" s="580">
        <v>3850.96</v>
      </c>
      <c r="L1067" s="580">
        <v>55.843200000000003</v>
      </c>
      <c r="M1067" s="552">
        <f t="shared" si="87"/>
        <v>68.960231505357854</v>
      </c>
      <c r="N1067" s="526">
        <v>60</v>
      </c>
      <c r="O1067" s="563">
        <f t="shared" si="84"/>
        <v>64.182666666666663</v>
      </c>
      <c r="P1067" s="564">
        <f t="shared" ca="1" si="85"/>
        <v>31</v>
      </c>
      <c r="Q1067" s="552">
        <f t="shared" ca="1" si="83"/>
        <v>1861.2973333333334</v>
      </c>
      <c r="R1067" s="563">
        <f t="shared" ca="1" si="86"/>
        <v>1861.2973333333334</v>
      </c>
      <c r="S1067" s="565" t="s">
        <v>61</v>
      </c>
    </row>
    <row r="1068" spans="2:19" ht="50.1" customHeight="1" x14ac:dyDescent="0.25">
      <c r="B1068" s="861">
        <v>44921</v>
      </c>
      <c r="C1068" s="583" t="s">
        <v>2349</v>
      </c>
      <c r="D1068" s="583"/>
      <c r="E1068" s="548" t="s">
        <v>2122</v>
      </c>
      <c r="F1068" s="585" t="s">
        <v>2153</v>
      </c>
      <c r="G1068" s="549" t="s">
        <v>2130</v>
      </c>
      <c r="H1068" s="584" t="s">
        <v>2154</v>
      </c>
      <c r="I1068" s="548" t="s">
        <v>2132</v>
      </c>
      <c r="J1068" s="641" t="s">
        <v>1594</v>
      </c>
      <c r="K1068" s="580">
        <v>3850.96</v>
      </c>
      <c r="L1068" s="580">
        <v>55.843200000000003</v>
      </c>
      <c r="M1068" s="552">
        <f t="shared" si="87"/>
        <v>68.960231505357854</v>
      </c>
      <c r="N1068" s="526">
        <v>60</v>
      </c>
      <c r="O1068" s="563">
        <f t="shared" si="84"/>
        <v>64.182666666666663</v>
      </c>
      <c r="P1068" s="564">
        <f t="shared" ca="1" si="85"/>
        <v>31</v>
      </c>
      <c r="Q1068" s="552">
        <f t="shared" ca="1" si="83"/>
        <v>1861.2973333333334</v>
      </c>
      <c r="R1068" s="563">
        <f t="shared" ca="1" si="86"/>
        <v>1861.2973333333334</v>
      </c>
      <c r="S1068" s="565" t="s">
        <v>61</v>
      </c>
    </row>
    <row r="1069" spans="2:19" ht="50.1" customHeight="1" x14ac:dyDescent="0.25">
      <c r="B1069" s="861">
        <v>44921</v>
      </c>
      <c r="C1069" s="583" t="s">
        <v>2349</v>
      </c>
      <c r="D1069" s="583"/>
      <c r="E1069" s="548" t="s">
        <v>2122</v>
      </c>
      <c r="F1069" s="585" t="s">
        <v>2155</v>
      </c>
      <c r="G1069" s="549" t="s">
        <v>2130</v>
      </c>
      <c r="H1069" s="584" t="s">
        <v>2156</v>
      </c>
      <c r="I1069" s="548" t="s">
        <v>2132</v>
      </c>
      <c r="J1069" s="641" t="s">
        <v>1594</v>
      </c>
      <c r="K1069" s="580">
        <v>3850.96</v>
      </c>
      <c r="L1069" s="580">
        <v>55.843200000000003</v>
      </c>
      <c r="M1069" s="552">
        <f t="shared" si="87"/>
        <v>68.960231505357854</v>
      </c>
      <c r="N1069" s="526">
        <v>60</v>
      </c>
      <c r="O1069" s="563">
        <f t="shared" si="84"/>
        <v>64.182666666666663</v>
      </c>
      <c r="P1069" s="564">
        <f t="shared" ca="1" si="85"/>
        <v>31</v>
      </c>
      <c r="Q1069" s="552">
        <f t="shared" ca="1" si="83"/>
        <v>1861.2973333333334</v>
      </c>
      <c r="R1069" s="563">
        <f t="shared" ca="1" si="86"/>
        <v>1861.2973333333334</v>
      </c>
      <c r="S1069" s="565" t="s">
        <v>61</v>
      </c>
    </row>
    <row r="1070" spans="2:19" ht="50.1" customHeight="1" x14ac:dyDescent="0.25">
      <c r="B1070" s="861">
        <v>44921</v>
      </c>
      <c r="C1070" s="583" t="s">
        <v>2349</v>
      </c>
      <c r="D1070" s="583"/>
      <c r="E1070" s="548" t="s">
        <v>2122</v>
      </c>
      <c r="F1070" s="585" t="s">
        <v>2157</v>
      </c>
      <c r="G1070" s="549" t="s">
        <v>2130</v>
      </c>
      <c r="H1070" s="584" t="s">
        <v>2158</v>
      </c>
      <c r="I1070" s="548" t="s">
        <v>2132</v>
      </c>
      <c r="J1070" s="641" t="s">
        <v>1594</v>
      </c>
      <c r="K1070" s="580">
        <v>3850.96</v>
      </c>
      <c r="L1070" s="580">
        <v>55.843200000000003</v>
      </c>
      <c r="M1070" s="552">
        <f t="shared" si="87"/>
        <v>68.960231505357854</v>
      </c>
      <c r="N1070" s="526">
        <v>60</v>
      </c>
      <c r="O1070" s="563">
        <f t="shared" si="84"/>
        <v>64.182666666666663</v>
      </c>
      <c r="P1070" s="564">
        <f t="shared" ca="1" si="85"/>
        <v>31</v>
      </c>
      <c r="Q1070" s="552">
        <f t="shared" ca="1" si="83"/>
        <v>1861.2973333333334</v>
      </c>
      <c r="R1070" s="563">
        <f t="shared" ca="1" si="86"/>
        <v>1861.2973333333334</v>
      </c>
      <c r="S1070" s="565" t="s">
        <v>61</v>
      </c>
    </row>
    <row r="1071" spans="2:19" ht="50.1" customHeight="1" x14ac:dyDescent="0.25">
      <c r="B1071" s="861">
        <v>44921</v>
      </c>
      <c r="C1071" s="583" t="s">
        <v>2349</v>
      </c>
      <c r="D1071" s="583"/>
      <c r="E1071" s="548" t="s">
        <v>2122</v>
      </c>
      <c r="F1071" s="585" t="s">
        <v>2159</v>
      </c>
      <c r="G1071" s="549" t="s">
        <v>2130</v>
      </c>
      <c r="H1071" s="584" t="s">
        <v>2160</v>
      </c>
      <c r="I1071" s="548" t="s">
        <v>2132</v>
      </c>
      <c r="J1071" s="641" t="s">
        <v>1594</v>
      </c>
      <c r="K1071" s="580">
        <v>3850.96</v>
      </c>
      <c r="L1071" s="580">
        <v>55.843200000000003</v>
      </c>
      <c r="M1071" s="552">
        <f t="shared" si="87"/>
        <v>68.960231505357854</v>
      </c>
      <c r="N1071" s="526">
        <v>60</v>
      </c>
      <c r="O1071" s="563">
        <f t="shared" si="84"/>
        <v>64.182666666666663</v>
      </c>
      <c r="P1071" s="564">
        <f t="shared" ca="1" si="85"/>
        <v>31</v>
      </c>
      <c r="Q1071" s="552">
        <f t="shared" ca="1" si="83"/>
        <v>1861.2973333333334</v>
      </c>
      <c r="R1071" s="563">
        <f t="shared" ca="1" si="86"/>
        <v>1861.2973333333334</v>
      </c>
      <c r="S1071" s="565" t="s">
        <v>61</v>
      </c>
    </row>
    <row r="1072" spans="2:19" ht="50.1" customHeight="1" x14ac:dyDescent="0.25">
      <c r="B1072" s="861">
        <v>44921</v>
      </c>
      <c r="C1072" s="583" t="s">
        <v>2349</v>
      </c>
      <c r="D1072" s="583"/>
      <c r="E1072" s="548" t="s">
        <v>2122</v>
      </c>
      <c r="F1072" s="585" t="s">
        <v>2161</v>
      </c>
      <c r="G1072" s="549" t="s">
        <v>2130</v>
      </c>
      <c r="H1072" s="584" t="s">
        <v>2162</v>
      </c>
      <c r="I1072" s="548" t="s">
        <v>2132</v>
      </c>
      <c r="J1072" s="641" t="s">
        <v>1594</v>
      </c>
      <c r="K1072" s="580">
        <v>3850.96</v>
      </c>
      <c r="L1072" s="580">
        <v>55.843200000000003</v>
      </c>
      <c r="M1072" s="552">
        <f t="shared" si="87"/>
        <v>68.960231505357854</v>
      </c>
      <c r="N1072" s="526">
        <v>60</v>
      </c>
      <c r="O1072" s="563">
        <f t="shared" si="84"/>
        <v>64.182666666666663</v>
      </c>
      <c r="P1072" s="564">
        <f t="shared" ca="1" si="85"/>
        <v>31</v>
      </c>
      <c r="Q1072" s="552">
        <f t="shared" ca="1" si="83"/>
        <v>1861.2973333333334</v>
      </c>
      <c r="R1072" s="563">
        <f t="shared" ca="1" si="86"/>
        <v>1861.2973333333334</v>
      </c>
      <c r="S1072" s="565" t="s">
        <v>61</v>
      </c>
    </row>
    <row r="1073" spans="2:19" ht="50.1" customHeight="1" x14ac:dyDescent="0.25">
      <c r="B1073" s="861">
        <v>44921</v>
      </c>
      <c r="C1073" s="583" t="s">
        <v>2349</v>
      </c>
      <c r="D1073" s="583"/>
      <c r="E1073" s="548" t="s">
        <v>2122</v>
      </c>
      <c r="F1073" s="585" t="s">
        <v>2163</v>
      </c>
      <c r="G1073" s="549" t="s">
        <v>2130</v>
      </c>
      <c r="H1073" s="584" t="s">
        <v>2164</v>
      </c>
      <c r="I1073" s="548" t="s">
        <v>2132</v>
      </c>
      <c r="J1073" s="641" t="s">
        <v>1594</v>
      </c>
      <c r="K1073" s="580">
        <v>3850.96</v>
      </c>
      <c r="L1073" s="580">
        <v>55.843200000000003</v>
      </c>
      <c r="M1073" s="552">
        <f t="shared" si="87"/>
        <v>68.960231505357854</v>
      </c>
      <c r="N1073" s="526">
        <v>60</v>
      </c>
      <c r="O1073" s="563">
        <f t="shared" si="84"/>
        <v>64.182666666666663</v>
      </c>
      <c r="P1073" s="564">
        <f t="shared" ca="1" si="85"/>
        <v>31</v>
      </c>
      <c r="Q1073" s="552">
        <f t="shared" ca="1" si="83"/>
        <v>1861.2973333333334</v>
      </c>
      <c r="R1073" s="563">
        <f t="shared" ca="1" si="86"/>
        <v>1861.2973333333334</v>
      </c>
      <c r="S1073" s="565" t="s">
        <v>61</v>
      </c>
    </row>
    <row r="1074" spans="2:19" ht="50.1" customHeight="1" x14ac:dyDescent="0.25">
      <c r="B1074" s="861">
        <v>44921</v>
      </c>
      <c r="C1074" s="583" t="s">
        <v>2349</v>
      </c>
      <c r="D1074" s="583"/>
      <c r="E1074" s="548" t="s">
        <v>2122</v>
      </c>
      <c r="F1074" s="585" t="s">
        <v>2165</v>
      </c>
      <c r="G1074" s="549" t="s">
        <v>2130</v>
      </c>
      <c r="H1074" s="584" t="s">
        <v>2166</v>
      </c>
      <c r="I1074" s="548" t="s">
        <v>2132</v>
      </c>
      <c r="J1074" s="641" t="s">
        <v>1594</v>
      </c>
      <c r="K1074" s="580">
        <v>3850.96</v>
      </c>
      <c r="L1074" s="580">
        <v>55.843200000000003</v>
      </c>
      <c r="M1074" s="552">
        <f t="shared" si="87"/>
        <v>68.960231505357854</v>
      </c>
      <c r="N1074" s="526">
        <v>60</v>
      </c>
      <c r="O1074" s="563">
        <f t="shared" si="84"/>
        <v>64.182666666666663</v>
      </c>
      <c r="P1074" s="564">
        <f t="shared" ca="1" si="85"/>
        <v>31</v>
      </c>
      <c r="Q1074" s="552">
        <f t="shared" ca="1" si="83"/>
        <v>1861.2973333333334</v>
      </c>
      <c r="R1074" s="563">
        <f t="shared" ca="1" si="86"/>
        <v>1861.2973333333334</v>
      </c>
      <c r="S1074" s="565" t="s">
        <v>61</v>
      </c>
    </row>
    <row r="1075" spans="2:19" ht="50.1" customHeight="1" x14ac:dyDescent="0.25">
      <c r="B1075" s="861">
        <v>44921</v>
      </c>
      <c r="C1075" s="583" t="s">
        <v>2349</v>
      </c>
      <c r="D1075" s="583"/>
      <c r="E1075" s="548" t="s">
        <v>2122</v>
      </c>
      <c r="F1075" s="585" t="s">
        <v>2167</v>
      </c>
      <c r="G1075" s="549" t="s">
        <v>2130</v>
      </c>
      <c r="H1075" s="584" t="s">
        <v>2168</v>
      </c>
      <c r="I1075" s="548" t="s">
        <v>2132</v>
      </c>
      <c r="J1075" s="641" t="s">
        <v>1594</v>
      </c>
      <c r="K1075" s="580">
        <v>3850.96</v>
      </c>
      <c r="L1075" s="580">
        <v>55.843200000000003</v>
      </c>
      <c r="M1075" s="552">
        <f t="shared" si="87"/>
        <v>68.960231505357854</v>
      </c>
      <c r="N1075" s="526">
        <v>60</v>
      </c>
      <c r="O1075" s="563">
        <f t="shared" si="84"/>
        <v>64.182666666666663</v>
      </c>
      <c r="P1075" s="564">
        <f t="shared" ca="1" si="85"/>
        <v>31</v>
      </c>
      <c r="Q1075" s="552">
        <f t="shared" ca="1" si="83"/>
        <v>1861.2973333333334</v>
      </c>
      <c r="R1075" s="563">
        <f t="shared" ca="1" si="86"/>
        <v>1861.2973333333334</v>
      </c>
      <c r="S1075" s="565" t="s">
        <v>61</v>
      </c>
    </row>
    <row r="1076" spans="2:19" ht="50.1" customHeight="1" x14ac:dyDescent="0.25">
      <c r="B1076" s="861">
        <v>44921</v>
      </c>
      <c r="C1076" s="583" t="s">
        <v>2349</v>
      </c>
      <c r="D1076" s="583"/>
      <c r="E1076" s="548" t="s">
        <v>2122</v>
      </c>
      <c r="F1076" s="585" t="s">
        <v>2169</v>
      </c>
      <c r="G1076" s="549" t="s">
        <v>2130</v>
      </c>
      <c r="H1076" s="584" t="s">
        <v>2170</v>
      </c>
      <c r="I1076" s="548" t="s">
        <v>2132</v>
      </c>
      <c r="J1076" s="641" t="s">
        <v>1594</v>
      </c>
      <c r="K1076" s="580">
        <v>3850.96</v>
      </c>
      <c r="L1076" s="580">
        <v>55.843200000000003</v>
      </c>
      <c r="M1076" s="552">
        <f t="shared" si="87"/>
        <v>68.960231505357854</v>
      </c>
      <c r="N1076" s="526">
        <v>60</v>
      </c>
      <c r="O1076" s="563">
        <f t="shared" si="84"/>
        <v>64.182666666666663</v>
      </c>
      <c r="P1076" s="564">
        <f t="shared" ca="1" si="85"/>
        <v>31</v>
      </c>
      <c r="Q1076" s="552">
        <f t="shared" ca="1" si="83"/>
        <v>1861.2973333333334</v>
      </c>
      <c r="R1076" s="563">
        <f t="shared" ca="1" si="86"/>
        <v>1861.2973333333334</v>
      </c>
      <c r="S1076" s="565" t="s">
        <v>61</v>
      </c>
    </row>
    <row r="1077" spans="2:19" ht="50.1" customHeight="1" x14ac:dyDescent="0.25">
      <c r="B1077" s="861">
        <v>44921</v>
      </c>
      <c r="C1077" s="583" t="s">
        <v>2349</v>
      </c>
      <c r="D1077" s="583"/>
      <c r="E1077" s="548" t="s">
        <v>2122</v>
      </c>
      <c r="F1077" s="585" t="s">
        <v>2171</v>
      </c>
      <c r="G1077" s="549" t="s">
        <v>2130</v>
      </c>
      <c r="H1077" s="584" t="s">
        <v>2172</v>
      </c>
      <c r="I1077" s="548" t="s">
        <v>2132</v>
      </c>
      <c r="J1077" s="641" t="s">
        <v>1594</v>
      </c>
      <c r="K1077" s="580">
        <v>3850.96</v>
      </c>
      <c r="L1077" s="580">
        <v>55.843200000000003</v>
      </c>
      <c r="M1077" s="552">
        <f t="shared" si="87"/>
        <v>68.960231505357854</v>
      </c>
      <c r="N1077" s="526">
        <v>60</v>
      </c>
      <c r="O1077" s="563">
        <f t="shared" si="84"/>
        <v>64.182666666666663</v>
      </c>
      <c r="P1077" s="564">
        <f t="shared" ca="1" si="85"/>
        <v>31</v>
      </c>
      <c r="Q1077" s="552">
        <f t="shared" ca="1" si="83"/>
        <v>1861.2973333333334</v>
      </c>
      <c r="R1077" s="563">
        <f t="shared" ca="1" si="86"/>
        <v>1861.2973333333334</v>
      </c>
      <c r="S1077" s="565" t="s">
        <v>61</v>
      </c>
    </row>
    <row r="1078" spans="2:19" ht="50.1" customHeight="1" x14ac:dyDescent="0.25">
      <c r="B1078" s="861">
        <v>44921</v>
      </c>
      <c r="C1078" s="583" t="s">
        <v>2349</v>
      </c>
      <c r="D1078" s="583"/>
      <c r="E1078" s="548" t="s">
        <v>2122</v>
      </c>
      <c r="F1078" s="585" t="s">
        <v>2173</v>
      </c>
      <c r="G1078" s="549" t="s">
        <v>2130</v>
      </c>
      <c r="H1078" s="584" t="s">
        <v>2174</v>
      </c>
      <c r="I1078" s="548" t="s">
        <v>2132</v>
      </c>
      <c r="J1078" s="641" t="s">
        <v>1594</v>
      </c>
      <c r="K1078" s="580">
        <v>3850.96</v>
      </c>
      <c r="L1078" s="580">
        <v>55.843200000000003</v>
      </c>
      <c r="M1078" s="552">
        <f t="shared" si="87"/>
        <v>68.960231505357854</v>
      </c>
      <c r="N1078" s="526">
        <v>60</v>
      </c>
      <c r="O1078" s="563">
        <f t="shared" si="84"/>
        <v>64.182666666666663</v>
      </c>
      <c r="P1078" s="564">
        <f t="shared" ca="1" si="85"/>
        <v>31</v>
      </c>
      <c r="Q1078" s="552">
        <f t="shared" ca="1" si="83"/>
        <v>1861.2973333333334</v>
      </c>
      <c r="R1078" s="563">
        <f t="shared" ca="1" si="86"/>
        <v>1861.2973333333334</v>
      </c>
      <c r="S1078" s="565" t="s">
        <v>61</v>
      </c>
    </row>
    <row r="1079" spans="2:19" ht="50.1" customHeight="1" x14ac:dyDescent="0.25">
      <c r="B1079" s="861">
        <v>44921</v>
      </c>
      <c r="C1079" s="583" t="s">
        <v>2349</v>
      </c>
      <c r="D1079" s="583"/>
      <c r="E1079" s="548" t="s">
        <v>2122</v>
      </c>
      <c r="F1079" s="585" t="s">
        <v>2175</v>
      </c>
      <c r="G1079" s="549" t="s">
        <v>2130</v>
      </c>
      <c r="H1079" s="584" t="s">
        <v>2176</v>
      </c>
      <c r="I1079" s="548" t="s">
        <v>2132</v>
      </c>
      <c r="J1079" s="641" t="s">
        <v>1594</v>
      </c>
      <c r="K1079" s="580">
        <v>3850.96</v>
      </c>
      <c r="L1079" s="580">
        <v>55.843200000000003</v>
      </c>
      <c r="M1079" s="552">
        <f t="shared" si="87"/>
        <v>68.960231505357854</v>
      </c>
      <c r="N1079" s="526">
        <v>60</v>
      </c>
      <c r="O1079" s="563">
        <f t="shared" si="84"/>
        <v>64.182666666666663</v>
      </c>
      <c r="P1079" s="564">
        <f t="shared" ca="1" si="85"/>
        <v>31</v>
      </c>
      <c r="Q1079" s="552">
        <f t="shared" ca="1" si="83"/>
        <v>1861.2973333333334</v>
      </c>
      <c r="R1079" s="563">
        <f t="shared" ca="1" si="86"/>
        <v>1861.2973333333334</v>
      </c>
      <c r="S1079" s="565" t="s">
        <v>61</v>
      </c>
    </row>
    <row r="1080" spans="2:19" ht="50.1" customHeight="1" x14ac:dyDescent="0.25">
      <c r="B1080" s="861">
        <v>44921</v>
      </c>
      <c r="C1080" s="583" t="s">
        <v>2349</v>
      </c>
      <c r="D1080" s="583"/>
      <c r="E1080" s="548" t="s">
        <v>2122</v>
      </c>
      <c r="F1080" s="585" t="s">
        <v>2177</v>
      </c>
      <c r="G1080" s="549" t="s">
        <v>2130</v>
      </c>
      <c r="H1080" s="584" t="s">
        <v>2178</v>
      </c>
      <c r="I1080" s="548" t="s">
        <v>2132</v>
      </c>
      <c r="J1080" s="641" t="s">
        <v>1594</v>
      </c>
      <c r="K1080" s="580">
        <v>3850.96</v>
      </c>
      <c r="L1080" s="580">
        <v>55.843200000000003</v>
      </c>
      <c r="M1080" s="552">
        <f t="shared" si="87"/>
        <v>68.960231505357854</v>
      </c>
      <c r="N1080" s="526">
        <v>60</v>
      </c>
      <c r="O1080" s="563">
        <f t="shared" si="84"/>
        <v>64.182666666666663</v>
      </c>
      <c r="P1080" s="564">
        <f t="shared" ca="1" si="85"/>
        <v>31</v>
      </c>
      <c r="Q1080" s="552">
        <f t="shared" ca="1" si="83"/>
        <v>1861.2973333333334</v>
      </c>
      <c r="R1080" s="563">
        <f t="shared" ca="1" si="86"/>
        <v>1861.2973333333334</v>
      </c>
      <c r="S1080" s="565" t="s">
        <v>61</v>
      </c>
    </row>
    <row r="1081" spans="2:19" ht="50.1" customHeight="1" x14ac:dyDescent="0.25">
      <c r="B1081" s="861">
        <v>44921</v>
      </c>
      <c r="C1081" s="583" t="s">
        <v>2349</v>
      </c>
      <c r="D1081" s="583"/>
      <c r="E1081" s="548" t="s">
        <v>2122</v>
      </c>
      <c r="F1081" s="585" t="s">
        <v>2179</v>
      </c>
      <c r="G1081" s="549" t="s">
        <v>2130</v>
      </c>
      <c r="H1081" s="584" t="s">
        <v>2180</v>
      </c>
      <c r="I1081" s="548" t="s">
        <v>2132</v>
      </c>
      <c r="J1081" s="641" t="s">
        <v>1594</v>
      </c>
      <c r="K1081" s="580">
        <v>3850.96</v>
      </c>
      <c r="L1081" s="580">
        <v>55.843200000000003</v>
      </c>
      <c r="M1081" s="552">
        <f t="shared" si="87"/>
        <v>68.960231505357854</v>
      </c>
      <c r="N1081" s="526">
        <v>60</v>
      </c>
      <c r="O1081" s="563">
        <f t="shared" si="84"/>
        <v>64.182666666666663</v>
      </c>
      <c r="P1081" s="564">
        <f t="shared" ca="1" si="85"/>
        <v>31</v>
      </c>
      <c r="Q1081" s="552">
        <f t="shared" ca="1" si="83"/>
        <v>1861.2973333333334</v>
      </c>
      <c r="R1081" s="563">
        <f t="shared" ca="1" si="86"/>
        <v>1861.2973333333334</v>
      </c>
      <c r="S1081" s="565" t="s">
        <v>61</v>
      </c>
    </row>
    <row r="1082" spans="2:19" ht="50.1" customHeight="1" x14ac:dyDescent="0.25">
      <c r="B1082" s="861">
        <v>44921</v>
      </c>
      <c r="C1082" s="583" t="s">
        <v>2349</v>
      </c>
      <c r="D1082" s="583"/>
      <c r="E1082" s="548" t="s">
        <v>2122</v>
      </c>
      <c r="F1082" s="585" t="s">
        <v>2181</v>
      </c>
      <c r="G1082" s="549" t="s">
        <v>2130</v>
      </c>
      <c r="H1082" s="584" t="s">
        <v>2182</v>
      </c>
      <c r="I1082" s="548" t="s">
        <v>2132</v>
      </c>
      <c r="J1082" s="641" t="s">
        <v>1594</v>
      </c>
      <c r="K1082" s="580">
        <v>3850.96</v>
      </c>
      <c r="L1082" s="580">
        <v>55.843200000000003</v>
      </c>
      <c r="M1082" s="552">
        <f t="shared" si="87"/>
        <v>68.960231505357854</v>
      </c>
      <c r="N1082" s="526">
        <v>60</v>
      </c>
      <c r="O1082" s="563">
        <f t="shared" si="84"/>
        <v>64.182666666666663</v>
      </c>
      <c r="P1082" s="564">
        <f t="shared" ca="1" si="85"/>
        <v>31</v>
      </c>
      <c r="Q1082" s="552">
        <f t="shared" ca="1" si="83"/>
        <v>1861.2973333333334</v>
      </c>
      <c r="R1082" s="563">
        <f t="shared" ca="1" si="86"/>
        <v>1861.2973333333334</v>
      </c>
      <c r="S1082" s="565" t="s">
        <v>61</v>
      </c>
    </row>
    <row r="1083" spans="2:19" ht="50.1" customHeight="1" x14ac:dyDescent="0.25">
      <c r="B1083" s="861">
        <v>44921</v>
      </c>
      <c r="C1083" s="583" t="s">
        <v>2349</v>
      </c>
      <c r="D1083" s="583"/>
      <c r="E1083" s="548" t="s">
        <v>2122</v>
      </c>
      <c r="F1083" s="585" t="s">
        <v>2183</v>
      </c>
      <c r="G1083" s="549" t="s">
        <v>2130</v>
      </c>
      <c r="H1083" s="584" t="s">
        <v>2184</v>
      </c>
      <c r="I1083" s="548" t="s">
        <v>2132</v>
      </c>
      <c r="J1083" s="641" t="s">
        <v>1594</v>
      </c>
      <c r="K1083" s="580">
        <v>3850.96</v>
      </c>
      <c r="L1083" s="580">
        <v>55.843200000000003</v>
      </c>
      <c r="M1083" s="552">
        <f t="shared" si="87"/>
        <v>68.960231505357854</v>
      </c>
      <c r="N1083" s="526">
        <v>60</v>
      </c>
      <c r="O1083" s="563">
        <f t="shared" si="84"/>
        <v>64.182666666666663</v>
      </c>
      <c r="P1083" s="564">
        <f t="shared" ca="1" si="85"/>
        <v>31</v>
      </c>
      <c r="Q1083" s="552">
        <f t="shared" ca="1" si="83"/>
        <v>1861.2973333333334</v>
      </c>
      <c r="R1083" s="563">
        <f t="shared" ca="1" si="86"/>
        <v>1861.2973333333334</v>
      </c>
      <c r="S1083" s="565" t="s">
        <v>61</v>
      </c>
    </row>
    <row r="1084" spans="2:19" ht="50.1" customHeight="1" x14ac:dyDescent="0.25">
      <c r="B1084" s="861">
        <v>44921</v>
      </c>
      <c r="C1084" s="583" t="s">
        <v>2349</v>
      </c>
      <c r="D1084" s="583"/>
      <c r="E1084" s="548" t="s">
        <v>2122</v>
      </c>
      <c r="F1084" s="585" t="s">
        <v>2185</v>
      </c>
      <c r="G1084" s="549" t="s">
        <v>2130</v>
      </c>
      <c r="H1084" s="584" t="s">
        <v>2186</v>
      </c>
      <c r="I1084" s="548" t="s">
        <v>2132</v>
      </c>
      <c r="J1084" s="641" t="s">
        <v>1594</v>
      </c>
      <c r="K1084" s="580">
        <v>3850.96</v>
      </c>
      <c r="L1084" s="580">
        <v>55.843200000000003</v>
      </c>
      <c r="M1084" s="552">
        <f t="shared" si="87"/>
        <v>68.960231505357854</v>
      </c>
      <c r="N1084" s="526">
        <v>60</v>
      </c>
      <c r="O1084" s="563">
        <f t="shared" si="84"/>
        <v>64.182666666666663</v>
      </c>
      <c r="P1084" s="564">
        <f t="shared" ca="1" si="85"/>
        <v>31</v>
      </c>
      <c r="Q1084" s="552">
        <f t="shared" ca="1" si="83"/>
        <v>1861.2973333333334</v>
      </c>
      <c r="R1084" s="563">
        <f t="shared" ca="1" si="86"/>
        <v>1861.2973333333334</v>
      </c>
      <c r="S1084" s="565" t="s">
        <v>61</v>
      </c>
    </row>
    <row r="1085" spans="2:19" ht="50.1" customHeight="1" x14ac:dyDescent="0.25">
      <c r="B1085" s="861">
        <v>44921</v>
      </c>
      <c r="C1085" s="583" t="s">
        <v>2349</v>
      </c>
      <c r="D1085" s="583"/>
      <c r="E1085" s="548" t="s">
        <v>2122</v>
      </c>
      <c r="F1085" s="585" t="s">
        <v>2187</v>
      </c>
      <c r="G1085" s="549" t="s">
        <v>2130</v>
      </c>
      <c r="H1085" s="584" t="s">
        <v>2188</v>
      </c>
      <c r="I1085" s="548" t="s">
        <v>2132</v>
      </c>
      <c r="J1085" s="641" t="s">
        <v>1594</v>
      </c>
      <c r="K1085" s="580">
        <v>3850.96</v>
      </c>
      <c r="L1085" s="580">
        <v>55.843200000000003</v>
      </c>
      <c r="M1085" s="552">
        <f t="shared" si="87"/>
        <v>68.960231505357854</v>
      </c>
      <c r="N1085" s="526">
        <v>60</v>
      </c>
      <c r="O1085" s="563">
        <f t="shared" si="84"/>
        <v>64.182666666666663</v>
      </c>
      <c r="P1085" s="564">
        <f t="shared" ca="1" si="85"/>
        <v>31</v>
      </c>
      <c r="Q1085" s="552">
        <f t="shared" ca="1" si="83"/>
        <v>1861.2973333333334</v>
      </c>
      <c r="R1085" s="563">
        <f t="shared" ca="1" si="86"/>
        <v>1861.2973333333334</v>
      </c>
      <c r="S1085" s="565" t="s">
        <v>61</v>
      </c>
    </row>
    <row r="1086" spans="2:19" ht="50.1" customHeight="1" x14ac:dyDescent="0.25">
      <c r="B1086" s="861">
        <v>44921</v>
      </c>
      <c r="C1086" s="583" t="s">
        <v>2349</v>
      </c>
      <c r="D1086" s="583"/>
      <c r="E1086" s="548" t="s">
        <v>2122</v>
      </c>
      <c r="F1086" s="585" t="s">
        <v>2189</v>
      </c>
      <c r="G1086" s="549" t="s">
        <v>2130</v>
      </c>
      <c r="H1086" s="584" t="s">
        <v>2190</v>
      </c>
      <c r="I1086" s="548" t="s">
        <v>2132</v>
      </c>
      <c r="J1086" s="641" t="s">
        <v>1594</v>
      </c>
      <c r="K1086" s="580">
        <v>3850.96</v>
      </c>
      <c r="L1086" s="580">
        <v>55.843200000000003</v>
      </c>
      <c r="M1086" s="552">
        <f t="shared" si="87"/>
        <v>68.960231505357854</v>
      </c>
      <c r="N1086" s="526">
        <v>60</v>
      </c>
      <c r="O1086" s="563">
        <f t="shared" si="84"/>
        <v>64.182666666666663</v>
      </c>
      <c r="P1086" s="564">
        <f t="shared" ca="1" si="85"/>
        <v>31</v>
      </c>
      <c r="Q1086" s="552">
        <f t="shared" ca="1" si="83"/>
        <v>1861.2973333333334</v>
      </c>
      <c r="R1086" s="563">
        <f t="shared" ca="1" si="86"/>
        <v>1861.2973333333334</v>
      </c>
      <c r="S1086" s="565" t="s">
        <v>61</v>
      </c>
    </row>
    <row r="1087" spans="2:19" ht="50.1" customHeight="1" x14ac:dyDescent="0.25">
      <c r="B1087" s="861">
        <v>44921</v>
      </c>
      <c r="C1087" s="583" t="s">
        <v>2349</v>
      </c>
      <c r="D1087" s="583"/>
      <c r="E1087" s="548" t="s">
        <v>2122</v>
      </c>
      <c r="F1087" s="548" t="s">
        <v>2123</v>
      </c>
      <c r="G1087" s="549" t="s">
        <v>2124</v>
      </c>
      <c r="H1087" s="584" t="s">
        <v>2125</v>
      </c>
      <c r="I1087" s="548" t="s">
        <v>2126</v>
      </c>
      <c r="J1087" s="548" t="s">
        <v>19</v>
      </c>
      <c r="K1087" s="580">
        <v>51330.98</v>
      </c>
      <c r="L1087" s="580">
        <v>55.843200000000003</v>
      </c>
      <c r="M1087" s="552">
        <f t="shared" si="87"/>
        <v>919.1983983725861</v>
      </c>
      <c r="N1087" s="526">
        <v>60</v>
      </c>
      <c r="O1087" s="563">
        <f t="shared" si="84"/>
        <v>855.51633333333336</v>
      </c>
      <c r="P1087" s="564">
        <f t="shared" ca="1" si="85"/>
        <v>31</v>
      </c>
      <c r="Q1087" s="552">
        <f t="shared" ca="1" si="83"/>
        <v>24809.973666666669</v>
      </c>
      <c r="R1087" s="563">
        <f t="shared" ca="1" si="86"/>
        <v>24809.973666666669</v>
      </c>
      <c r="S1087" s="565" t="s">
        <v>61</v>
      </c>
    </row>
    <row r="1088" spans="2:19" ht="50.1" customHeight="1" x14ac:dyDescent="0.25">
      <c r="B1088" s="861">
        <v>44921</v>
      </c>
      <c r="C1088" s="583" t="s">
        <v>2349</v>
      </c>
      <c r="D1088" s="583"/>
      <c r="E1088" s="548" t="s">
        <v>2122</v>
      </c>
      <c r="F1088" s="548" t="s">
        <v>2127</v>
      </c>
      <c r="G1088" s="549" t="s">
        <v>2124</v>
      </c>
      <c r="H1088" s="584" t="s">
        <v>2128</v>
      </c>
      <c r="I1088" s="548" t="s">
        <v>2126</v>
      </c>
      <c r="J1088" s="548" t="s">
        <v>19</v>
      </c>
      <c r="K1088" s="580">
        <v>51330.97</v>
      </c>
      <c r="L1088" s="580">
        <v>55.843200000000003</v>
      </c>
      <c r="M1088" s="552">
        <f t="shared" si="87"/>
        <v>919.19821929975353</v>
      </c>
      <c r="N1088" s="526">
        <v>60</v>
      </c>
      <c r="O1088" s="563">
        <f t="shared" si="84"/>
        <v>855.51616666666666</v>
      </c>
      <c r="P1088" s="564">
        <f t="shared" ca="1" si="85"/>
        <v>31</v>
      </c>
      <c r="Q1088" s="552">
        <f t="shared" ca="1" si="83"/>
        <v>24809.968833333336</v>
      </c>
      <c r="R1088" s="563">
        <f t="shared" ca="1" si="86"/>
        <v>24809.968833333336</v>
      </c>
      <c r="S1088" s="565" t="s">
        <v>61</v>
      </c>
    </row>
    <row r="1089" spans="2:19" ht="50.1" customHeight="1" x14ac:dyDescent="0.25">
      <c r="B1089" s="861">
        <v>44921</v>
      </c>
      <c r="C1089" s="583" t="s">
        <v>2349</v>
      </c>
      <c r="D1089" s="583"/>
      <c r="E1089" s="548" t="s">
        <v>2122</v>
      </c>
      <c r="F1089" s="585" t="s">
        <v>2260</v>
      </c>
      <c r="G1089" s="549" t="s">
        <v>2261</v>
      </c>
      <c r="H1089" s="584" t="s">
        <v>2262</v>
      </c>
      <c r="I1089" s="548" t="s">
        <v>5508</v>
      </c>
      <c r="J1089" s="548" t="s">
        <v>19</v>
      </c>
      <c r="K1089" s="580">
        <v>34064.35</v>
      </c>
      <c r="L1089" s="580">
        <v>55.843200000000003</v>
      </c>
      <c r="M1089" s="552">
        <f t="shared" si="87"/>
        <v>609.99996418543344</v>
      </c>
      <c r="N1089" s="526">
        <v>60</v>
      </c>
      <c r="O1089" s="563">
        <f t="shared" si="84"/>
        <v>567.73916666666662</v>
      </c>
      <c r="P1089" s="564">
        <f t="shared" ca="1" si="85"/>
        <v>31</v>
      </c>
      <c r="Q1089" s="552">
        <f t="shared" ca="1" si="83"/>
        <v>16464.435833333333</v>
      </c>
      <c r="R1089" s="563">
        <f t="shared" ca="1" si="86"/>
        <v>16464.435833333333</v>
      </c>
      <c r="S1089" s="565" t="s">
        <v>61</v>
      </c>
    </row>
    <row r="1090" spans="2:19" ht="50.1" customHeight="1" x14ac:dyDescent="0.25">
      <c r="B1090" s="861">
        <v>44921</v>
      </c>
      <c r="C1090" s="583" t="s">
        <v>2349</v>
      </c>
      <c r="D1090" s="583"/>
      <c r="E1090" s="548" t="s">
        <v>2122</v>
      </c>
      <c r="F1090" s="585" t="s">
        <v>2263</v>
      </c>
      <c r="G1090" s="549" t="s">
        <v>2261</v>
      </c>
      <c r="H1090" s="584" t="s">
        <v>2265</v>
      </c>
      <c r="I1090" s="548" t="s">
        <v>5505</v>
      </c>
      <c r="J1090" s="548" t="s">
        <v>19</v>
      </c>
      <c r="K1090" s="580">
        <v>34064.35</v>
      </c>
      <c r="L1090" s="580">
        <v>55.843200000000003</v>
      </c>
      <c r="M1090" s="552">
        <f t="shared" si="87"/>
        <v>609.99996418543344</v>
      </c>
      <c r="N1090" s="526">
        <v>60</v>
      </c>
      <c r="O1090" s="563">
        <f t="shared" si="84"/>
        <v>567.73916666666662</v>
      </c>
      <c r="P1090" s="564">
        <f t="shared" ca="1" si="85"/>
        <v>31</v>
      </c>
      <c r="Q1090" s="552">
        <f t="shared" ref="Q1090:Q1153" ca="1" si="88">IF(OR(K1090=0,N1090=0,P1090=0),0,K1090-(O1090*P1090))</f>
        <v>16464.435833333333</v>
      </c>
      <c r="R1090" s="563">
        <f t="shared" ca="1" si="86"/>
        <v>16464.435833333333</v>
      </c>
      <c r="S1090" s="565" t="s">
        <v>61</v>
      </c>
    </row>
    <row r="1091" spans="2:19" ht="50.1" customHeight="1" x14ac:dyDescent="0.25">
      <c r="B1091" s="861">
        <v>44921</v>
      </c>
      <c r="C1091" s="583" t="s">
        <v>2349</v>
      </c>
      <c r="D1091" s="583"/>
      <c r="E1091" s="548" t="s">
        <v>2122</v>
      </c>
      <c r="F1091" s="585" t="s">
        <v>2266</v>
      </c>
      <c r="G1091" s="549" t="s">
        <v>2261</v>
      </c>
      <c r="H1091" s="584" t="s">
        <v>5506</v>
      </c>
      <c r="I1091" s="548" t="s">
        <v>2126</v>
      </c>
      <c r="J1091" s="548" t="s">
        <v>19</v>
      </c>
      <c r="K1091" s="580">
        <v>34064.35</v>
      </c>
      <c r="L1091" s="580">
        <v>55.843200000000003</v>
      </c>
      <c r="M1091" s="552">
        <f t="shared" si="87"/>
        <v>609.99996418543344</v>
      </c>
      <c r="N1091" s="526">
        <v>60</v>
      </c>
      <c r="O1091" s="563">
        <f t="shared" si="84"/>
        <v>567.73916666666662</v>
      </c>
      <c r="P1091" s="564">
        <f t="shared" ca="1" si="85"/>
        <v>31</v>
      </c>
      <c r="Q1091" s="552">
        <f t="shared" ca="1" si="88"/>
        <v>16464.435833333333</v>
      </c>
      <c r="R1091" s="563">
        <f t="shared" ca="1" si="86"/>
        <v>16464.435833333333</v>
      </c>
      <c r="S1091" s="565" t="s">
        <v>61</v>
      </c>
    </row>
    <row r="1092" spans="2:19" ht="50.1" customHeight="1" x14ac:dyDescent="0.25">
      <c r="B1092" s="861">
        <v>44921</v>
      </c>
      <c r="C1092" s="583" t="s">
        <v>2349</v>
      </c>
      <c r="D1092" s="583"/>
      <c r="E1092" s="548" t="s">
        <v>2122</v>
      </c>
      <c r="F1092" s="585" t="s">
        <v>2269</v>
      </c>
      <c r="G1092" s="549" t="s">
        <v>2261</v>
      </c>
      <c r="H1092" s="584" t="s">
        <v>2271</v>
      </c>
      <c r="I1092" s="548" t="s">
        <v>5507</v>
      </c>
      <c r="J1092" s="548" t="s">
        <v>19</v>
      </c>
      <c r="K1092" s="580">
        <v>34064.35</v>
      </c>
      <c r="L1092" s="580">
        <v>55.843200000000003</v>
      </c>
      <c r="M1092" s="552">
        <f t="shared" si="87"/>
        <v>609.99996418543344</v>
      </c>
      <c r="N1092" s="526">
        <v>60</v>
      </c>
      <c r="O1092" s="563">
        <f t="shared" si="84"/>
        <v>567.73916666666662</v>
      </c>
      <c r="P1092" s="564">
        <f t="shared" ca="1" si="85"/>
        <v>31</v>
      </c>
      <c r="Q1092" s="552">
        <f t="shared" ca="1" si="88"/>
        <v>16464.435833333333</v>
      </c>
      <c r="R1092" s="563">
        <f t="shared" ca="1" si="86"/>
        <v>16464.435833333333</v>
      </c>
      <c r="S1092" s="565" t="s">
        <v>61</v>
      </c>
    </row>
    <row r="1093" spans="2:19" ht="50.1" customHeight="1" x14ac:dyDescent="0.25">
      <c r="B1093" s="861">
        <v>44921</v>
      </c>
      <c r="C1093" s="583" t="s">
        <v>2349</v>
      </c>
      <c r="D1093" s="583"/>
      <c r="E1093" s="548" t="s">
        <v>2122</v>
      </c>
      <c r="F1093" s="585" t="s">
        <v>2251</v>
      </c>
      <c r="G1093" s="549" t="s">
        <v>2252</v>
      </c>
      <c r="H1093" s="584" t="s">
        <v>2253</v>
      </c>
      <c r="I1093" s="548" t="s">
        <v>5134</v>
      </c>
      <c r="J1093" s="548" t="s">
        <v>19</v>
      </c>
      <c r="K1093" s="580">
        <v>17464.05</v>
      </c>
      <c r="L1093" s="580">
        <v>55.843200000000003</v>
      </c>
      <c r="M1093" s="552">
        <f t="shared" si="87"/>
        <v>312.73369004641563</v>
      </c>
      <c r="N1093" s="526">
        <v>60</v>
      </c>
      <c r="O1093" s="563">
        <f t="shared" si="84"/>
        <v>291.0675</v>
      </c>
      <c r="P1093" s="564">
        <f t="shared" ca="1" si="85"/>
        <v>31</v>
      </c>
      <c r="Q1093" s="552">
        <f t="shared" ca="1" si="88"/>
        <v>8440.9574999999986</v>
      </c>
      <c r="R1093" s="563">
        <f t="shared" ca="1" si="86"/>
        <v>8440.9574999999986</v>
      </c>
      <c r="S1093" s="565" t="s">
        <v>61</v>
      </c>
    </row>
    <row r="1094" spans="2:19" ht="50.1" customHeight="1" x14ac:dyDescent="0.25">
      <c r="B1094" s="861">
        <v>44921</v>
      </c>
      <c r="C1094" s="583" t="s">
        <v>2349</v>
      </c>
      <c r="D1094" s="583"/>
      <c r="E1094" s="548" t="s">
        <v>2122</v>
      </c>
      <c r="F1094" s="585" t="s">
        <v>2254</v>
      </c>
      <c r="G1094" s="549" t="s">
        <v>2252</v>
      </c>
      <c r="H1094" s="584" t="s">
        <v>2255</v>
      </c>
      <c r="I1094" s="548" t="s">
        <v>5133</v>
      </c>
      <c r="J1094" s="548" t="s">
        <v>19</v>
      </c>
      <c r="K1094" s="580">
        <v>17464.05</v>
      </c>
      <c r="L1094" s="580">
        <v>55.843200000000003</v>
      </c>
      <c r="M1094" s="552">
        <f t="shared" si="87"/>
        <v>312.73369004641563</v>
      </c>
      <c r="N1094" s="526">
        <v>60</v>
      </c>
      <c r="O1094" s="563">
        <f t="shared" si="84"/>
        <v>291.0675</v>
      </c>
      <c r="P1094" s="564">
        <f t="shared" ca="1" si="85"/>
        <v>31</v>
      </c>
      <c r="Q1094" s="552">
        <f t="shared" ca="1" si="88"/>
        <v>8440.9574999999986</v>
      </c>
      <c r="R1094" s="563">
        <f t="shared" ca="1" si="86"/>
        <v>8440.9574999999986</v>
      </c>
      <c r="S1094" s="565" t="s">
        <v>61</v>
      </c>
    </row>
    <row r="1095" spans="2:19" ht="50.1" customHeight="1" x14ac:dyDescent="0.25">
      <c r="B1095" s="861">
        <v>44921</v>
      </c>
      <c r="C1095" s="583" t="s">
        <v>2349</v>
      </c>
      <c r="D1095" s="583"/>
      <c r="E1095" s="548" t="s">
        <v>2122</v>
      </c>
      <c r="F1095" s="585" t="s">
        <v>2256</v>
      </c>
      <c r="G1095" s="549" t="s">
        <v>2252</v>
      </c>
      <c r="H1095" s="584" t="s">
        <v>2257</v>
      </c>
      <c r="I1095" s="548" t="s">
        <v>5509</v>
      </c>
      <c r="J1095" s="548" t="s">
        <v>19</v>
      </c>
      <c r="K1095" s="580">
        <v>17464.05</v>
      </c>
      <c r="L1095" s="580">
        <v>55.843200000000003</v>
      </c>
      <c r="M1095" s="552">
        <f t="shared" si="87"/>
        <v>312.73369004641563</v>
      </c>
      <c r="N1095" s="526">
        <v>60</v>
      </c>
      <c r="O1095" s="563">
        <f t="shared" si="84"/>
        <v>291.0675</v>
      </c>
      <c r="P1095" s="564">
        <f t="shared" ca="1" si="85"/>
        <v>31</v>
      </c>
      <c r="Q1095" s="552">
        <f t="shared" ca="1" si="88"/>
        <v>8440.9574999999986</v>
      </c>
      <c r="R1095" s="563">
        <f t="shared" ca="1" si="86"/>
        <v>8440.9574999999986</v>
      </c>
      <c r="S1095" s="565" t="s">
        <v>61</v>
      </c>
    </row>
    <row r="1096" spans="2:19" ht="50.1" customHeight="1" x14ac:dyDescent="0.25">
      <c r="B1096" s="861">
        <v>44921</v>
      </c>
      <c r="C1096" s="583" t="s">
        <v>2349</v>
      </c>
      <c r="D1096" s="583"/>
      <c r="E1096" s="548" t="s">
        <v>2122</v>
      </c>
      <c r="F1096" s="585" t="s">
        <v>2258</v>
      </c>
      <c r="G1096" s="549" t="s">
        <v>2252</v>
      </c>
      <c r="H1096" s="584" t="s">
        <v>2259</v>
      </c>
      <c r="I1096" s="680" t="s">
        <v>5132</v>
      </c>
      <c r="J1096" s="548" t="s">
        <v>19</v>
      </c>
      <c r="K1096" s="580">
        <v>17464.05</v>
      </c>
      <c r="L1096" s="580">
        <v>55.843200000000003</v>
      </c>
      <c r="M1096" s="552">
        <f t="shared" si="87"/>
        <v>312.73369004641563</v>
      </c>
      <c r="N1096" s="526">
        <v>60</v>
      </c>
      <c r="O1096" s="563">
        <f t="shared" ref="O1096:O1159" si="89">IF(AND(K1096&lt;&gt;0,N1096&lt;&gt;0),K1096/N1096,0)</f>
        <v>291.0675</v>
      </c>
      <c r="P1096" s="564">
        <f t="shared" ref="P1096:P1159" ca="1" si="90">IF(B1096&lt;&gt;0,(ROUND((NOW()-B1096)/30,0)),0)</f>
        <v>31</v>
      </c>
      <c r="Q1096" s="552">
        <f t="shared" ca="1" si="88"/>
        <v>8440.9574999999986</v>
      </c>
      <c r="R1096" s="563">
        <f t="shared" ref="R1096:R1159" ca="1" si="91">IF(Q1096&lt;1,1,Q1096)</f>
        <v>8440.9574999999986</v>
      </c>
      <c r="S1096" s="565" t="s">
        <v>61</v>
      </c>
    </row>
    <row r="1097" spans="2:19" ht="50.1" customHeight="1" x14ac:dyDescent="0.25">
      <c r="B1097" s="861">
        <v>44921</v>
      </c>
      <c r="C1097" s="583" t="s">
        <v>2349</v>
      </c>
      <c r="D1097" s="583"/>
      <c r="E1097" s="548" t="s">
        <v>2122</v>
      </c>
      <c r="F1097" s="585" t="s">
        <v>2191</v>
      </c>
      <c r="G1097" s="549" t="s">
        <v>1875</v>
      </c>
      <c r="H1097" s="584" t="s">
        <v>2192</v>
      </c>
      <c r="I1097" s="548" t="s">
        <v>2132</v>
      </c>
      <c r="J1097" s="641" t="s">
        <v>1594</v>
      </c>
      <c r="K1097" s="580">
        <v>11379.25</v>
      </c>
      <c r="L1097" s="580">
        <v>55.843200000000003</v>
      </c>
      <c r="M1097" s="552">
        <f t="shared" si="87"/>
        <v>203.77145292533379</v>
      </c>
      <c r="N1097" s="526">
        <v>60</v>
      </c>
      <c r="O1097" s="563">
        <f t="shared" si="89"/>
        <v>189.65416666666667</v>
      </c>
      <c r="P1097" s="564">
        <f t="shared" ca="1" si="90"/>
        <v>31</v>
      </c>
      <c r="Q1097" s="552">
        <f t="shared" ca="1" si="88"/>
        <v>5499.9708333333328</v>
      </c>
      <c r="R1097" s="563">
        <f t="shared" ca="1" si="91"/>
        <v>5499.9708333333328</v>
      </c>
      <c r="S1097" s="565" t="s">
        <v>61</v>
      </c>
    </row>
    <row r="1098" spans="2:19" ht="50.1" customHeight="1" x14ac:dyDescent="0.25">
      <c r="B1098" s="861">
        <v>44921</v>
      </c>
      <c r="C1098" s="583" t="s">
        <v>2349</v>
      </c>
      <c r="D1098" s="583"/>
      <c r="E1098" s="548" t="s">
        <v>2122</v>
      </c>
      <c r="F1098" s="585" t="s">
        <v>2193</v>
      </c>
      <c r="G1098" s="549" t="s">
        <v>1875</v>
      </c>
      <c r="H1098" s="584" t="s">
        <v>2194</v>
      </c>
      <c r="I1098" s="548" t="s">
        <v>2132</v>
      </c>
      <c r="J1098" s="641" t="s">
        <v>1594</v>
      </c>
      <c r="K1098" s="580">
        <v>11379.25</v>
      </c>
      <c r="L1098" s="580">
        <v>55.843200000000003</v>
      </c>
      <c r="M1098" s="552">
        <f t="shared" si="87"/>
        <v>203.77145292533379</v>
      </c>
      <c r="N1098" s="526">
        <v>60</v>
      </c>
      <c r="O1098" s="563">
        <f t="shared" si="89"/>
        <v>189.65416666666667</v>
      </c>
      <c r="P1098" s="564">
        <f t="shared" ca="1" si="90"/>
        <v>31</v>
      </c>
      <c r="Q1098" s="552">
        <f t="shared" ca="1" si="88"/>
        <v>5499.9708333333328</v>
      </c>
      <c r="R1098" s="563">
        <f t="shared" ca="1" si="91"/>
        <v>5499.9708333333328</v>
      </c>
      <c r="S1098" s="565" t="s">
        <v>61</v>
      </c>
    </row>
    <row r="1099" spans="2:19" ht="50.1" customHeight="1" x14ac:dyDescent="0.25">
      <c r="B1099" s="861">
        <v>44921</v>
      </c>
      <c r="C1099" s="583" t="s">
        <v>2349</v>
      </c>
      <c r="D1099" s="583"/>
      <c r="E1099" s="548" t="s">
        <v>2122</v>
      </c>
      <c r="F1099" s="585" t="s">
        <v>2195</v>
      </c>
      <c r="G1099" s="549" t="s">
        <v>1875</v>
      </c>
      <c r="H1099" s="584" t="s">
        <v>2196</v>
      </c>
      <c r="I1099" s="548" t="s">
        <v>2132</v>
      </c>
      <c r="J1099" s="641" t="s">
        <v>1594</v>
      </c>
      <c r="K1099" s="580">
        <v>11379.25</v>
      </c>
      <c r="L1099" s="580">
        <v>55.843200000000003</v>
      </c>
      <c r="M1099" s="552">
        <f t="shared" si="87"/>
        <v>203.77145292533379</v>
      </c>
      <c r="N1099" s="526">
        <v>60</v>
      </c>
      <c r="O1099" s="563">
        <f t="shared" si="89"/>
        <v>189.65416666666667</v>
      </c>
      <c r="P1099" s="564">
        <f t="shared" ca="1" si="90"/>
        <v>31</v>
      </c>
      <c r="Q1099" s="552">
        <f t="shared" ca="1" si="88"/>
        <v>5499.9708333333328</v>
      </c>
      <c r="R1099" s="563">
        <f t="shared" ca="1" si="91"/>
        <v>5499.9708333333328</v>
      </c>
      <c r="S1099" s="565" t="s">
        <v>61</v>
      </c>
    </row>
    <row r="1100" spans="2:19" ht="50.1" customHeight="1" x14ac:dyDescent="0.25">
      <c r="B1100" s="861">
        <v>44921</v>
      </c>
      <c r="C1100" s="583" t="s">
        <v>2349</v>
      </c>
      <c r="D1100" s="583"/>
      <c r="E1100" s="548" t="s">
        <v>2122</v>
      </c>
      <c r="F1100" s="585" t="s">
        <v>2197</v>
      </c>
      <c r="G1100" s="549" t="s">
        <v>1875</v>
      </c>
      <c r="H1100" s="584" t="s">
        <v>2198</v>
      </c>
      <c r="I1100" s="548" t="s">
        <v>2132</v>
      </c>
      <c r="J1100" s="641" t="s">
        <v>1594</v>
      </c>
      <c r="K1100" s="580">
        <v>11379.25</v>
      </c>
      <c r="L1100" s="580">
        <v>55.843200000000003</v>
      </c>
      <c r="M1100" s="552">
        <f t="shared" si="87"/>
        <v>203.77145292533379</v>
      </c>
      <c r="N1100" s="526">
        <v>60</v>
      </c>
      <c r="O1100" s="563">
        <f t="shared" si="89"/>
        <v>189.65416666666667</v>
      </c>
      <c r="P1100" s="564">
        <f t="shared" ca="1" si="90"/>
        <v>31</v>
      </c>
      <c r="Q1100" s="552">
        <f t="shared" ca="1" si="88"/>
        <v>5499.9708333333328</v>
      </c>
      <c r="R1100" s="563">
        <f t="shared" ca="1" si="91"/>
        <v>5499.9708333333328</v>
      </c>
      <c r="S1100" s="565" t="s">
        <v>61</v>
      </c>
    </row>
    <row r="1101" spans="2:19" ht="50.1" customHeight="1" x14ac:dyDescent="0.25">
      <c r="B1101" s="861">
        <v>44921</v>
      </c>
      <c r="C1101" s="583" t="s">
        <v>2349</v>
      </c>
      <c r="D1101" s="583"/>
      <c r="E1101" s="548" t="s">
        <v>2122</v>
      </c>
      <c r="F1101" s="585" t="s">
        <v>2199</v>
      </c>
      <c r="G1101" s="549" t="s">
        <v>1875</v>
      </c>
      <c r="H1101" s="584" t="s">
        <v>2200</v>
      </c>
      <c r="I1101" s="548" t="s">
        <v>2132</v>
      </c>
      <c r="J1101" s="641" t="s">
        <v>1594</v>
      </c>
      <c r="K1101" s="580">
        <v>11379.25</v>
      </c>
      <c r="L1101" s="580">
        <v>55.843200000000003</v>
      </c>
      <c r="M1101" s="552">
        <f t="shared" si="87"/>
        <v>203.77145292533379</v>
      </c>
      <c r="N1101" s="526">
        <v>60</v>
      </c>
      <c r="O1101" s="563">
        <f t="shared" si="89"/>
        <v>189.65416666666667</v>
      </c>
      <c r="P1101" s="564">
        <f t="shared" ca="1" si="90"/>
        <v>31</v>
      </c>
      <c r="Q1101" s="552">
        <f t="shared" ca="1" si="88"/>
        <v>5499.9708333333328</v>
      </c>
      <c r="R1101" s="563">
        <f t="shared" ca="1" si="91"/>
        <v>5499.9708333333328</v>
      </c>
      <c r="S1101" s="565" t="s">
        <v>61</v>
      </c>
    </row>
    <row r="1102" spans="2:19" ht="50.1" customHeight="1" x14ac:dyDescent="0.25">
      <c r="B1102" s="861">
        <v>44921</v>
      </c>
      <c r="C1102" s="583" t="s">
        <v>2349</v>
      </c>
      <c r="D1102" s="583"/>
      <c r="E1102" s="548" t="s">
        <v>2122</v>
      </c>
      <c r="F1102" s="585" t="s">
        <v>2201</v>
      </c>
      <c r="G1102" s="549" t="s">
        <v>1875</v>
      </c>
      <c r="H1102" s="584" t="s">
        <v>2202</v>
      </c>
      <c r="I1102" s="548" t="s">
        <v>2132</v>
      </c>
      <c r="J1102" s="641" t="s">
        <v>1594</v>
      </c>
      <c r="K1102" s="580">
        <v>11379.25</v>
      </c>
      <c r="L1102" s="580">
        <v>55.843200000000003</v>
      </c>
      <c r="M1102" s="552">
        <f t="shared" ref="M1102:M1165" si="92">+K1102/L1102</f>
        <v>203.77145292533379</v>
      </c>
      <c r="N1102" s="526">
        <v>60</v>
      </c>
      <c r="O1102" s="563">
        <f t="shared" si="89"/>
        <v>189.65416666666667</v>
      </c>
      <c r="P1102" s="564">
        <f t="shared" ca="1" si="90"/>
        <v>31</v>
      </c>
      <c r="Q1102" s="552">
        <f t="shared" ca="1" si="88"/>
        <v>5499.9708333333328</v>
      </c>
      <c r="R1102" s="563">
        <f t="shared" ca="1" si="91"/>
        <v>5499.9708333333328</v>
      </c>
      <c r="S1102" s="565" t="s">
        <v>61</v>
      </c>
    </row>
    <row r="1103" spans="2:19" ht="50.1" customHeight="1" x14ac:dyDescent="0.25">
      <c r="B1103" s="861">
        <v>44921</v>
      </c>
      <c r="C1103" s="583" t="s">
        <v>2349</v>
      </c>
      <c r="D1103" s="583"/>
      <c r="E1103" s="548" t="s">
        <v>2122</v>
      </c>
      <c r="F1103" s="585" t="s">
        <v>2203</v>
      </c>
      <c r="G1103" s="549" t="s">
        <v>1875</v>
      </c>
      <c r="H1103" s="584" t="s">
        <v>2204</v>
      </c>
      <c r="I1103" s="548" t="s">
        <v>2132</v>
      </c>
      <c r="J1103" s="641" t="s">
        <v>1594</v>
      </c>
      <c r="K1103" s="580">
        <v>11379.25</v>
      </c>
      <c r="L1103" s="580">
        <v>55.843200000000003</v>
      </c>
      <c r="M1103" s="552">
        <f t="shared" si="92"/>
        <v>203.77145292533379</v>
      </c>
      <c r="N1103" s="526">
        <v>60</v>
      </c>
      <c r="O1103" s="563">
        <f t="shared" si="89"/>
        <v>189.65416666666667</v>
      </c>
      <c r="P1103" s="564">
        <f t="shared" ca="1" si="90"/>
        <v>31</v>
      </c>
      <c r="Q1103" s="552">
        <f t="shared" ca="1" si="88"/>
        <v>5499.9708333333328</v>
      </c>
      <c r="R1103" s="563">
        <f t="shared" ca="1" si="91"/>
        <v>5499.9708333333328</v>
      </c>
      <c r="S1103" s="565" t="s">
        <v>61</v>
      </c>
    </row>
    <row r="1104" spans="2:19" ht="50.1" customHeight="1" x14ac:dyDescent="0.25">
      <c r="B1104" s="861">
        <v>44921</v>
      </c>
      <c r="C1104" s="583" t="s">
        <v>2349</v>
      </c>
      <c r="D1104" s="583"/>
      <c r="E1104" s="548" t="s">
        <v>2122</v>
      </c>
      <c r="F1104" s="585" t="s">
        <v>2205</v>
      </c>
      <c r="G1104" s="549" t="s">
        <v>1875</v>
      </c>
      <c r="H1104" s="584" t="s">
        <v>2206</v>
      </c>
      <c r="I1104" s="548" t="s">
        <v>2132</v>
      </c>
      <c r="J1104" s="641" t="s">
        <v>1594</v>
      </c>
      <c r="K1104" s="580">
        <v>11379.25</v>
      </c>
      <c r="L1104" s="580">
        <v>55.843200000000003</v>
      </c>
      <c r="M1104" s="552">
        <f t="shared" si="92"/>
        <v>203.77145292533379</v>
      </c>
      <c r="N1104" s="526">
        <v>60</v>
      </c>
      <c r="O1104" s="563">
        <f t="shared" si="89"/>
        <v>189.65416666666667</v>
      </c>
      <c r="P1104" s="564">
        <f t="shared" ca="1" si="90"/>
        <v>31</v>
      </c>
      <c r="Q1104" s="552">
        <f t="shared" ca="1" si="88"/>
        <v>5499.9708333333328</v>
      </c>
      <c r="R1104" s="563">
        <f t="shared" ca="1" si="91"/>
        <v>5499.9708333333328</v>
      </c>
      <c r="S1104" s="565" t="s">
        <v>61</v>
      </c>
    </row>
    <row r="1105" spans="2:19" ht="50.1" customHeight="1" x14ac:dyDescent="0.25">
      <c r="B1105" s="861">
        <v>44921</v>
      </c>
      <c r="C1105" s="583" t="s">
        <v>2349</v>
      </c>
      <c r="D1105" s="583"/>
      <c r="E1105" s="548" t="s">
        <v>2122</v>
      </c>
      <c r="F1105" s="585" t="s">
        <v>2207</v>
      </c>
      <c r="G1105" s="549" t="s">
        <v>1875</v>
      </c>
      <c r="H1105" s="584" t="s">
        <v>2208</v>
      </c>
      <c r="I1105" s="548" t="s">
        <v>2132</v>
      </c>
      <c r="J1105" s="641" t="s">
        <v>1594</v>
      </c>
      <c r="K1105" s="580">
        <v>11379.25</v>
      </c>
      <c r="L1105" s="580">
        <v>55.843200000000003</v>
      </c>
      <c r="M1105" s="552">
        <f t="shared" si="92"/>
        <v>203.77145292533379</v>
      </c>
      <c r="N1105" s="526">
        <v>60</v>
      </c>
      <c r="O1105" s="563">
        <f t="shared" si="89"/>
        <v>189.65416666666667</v>
      </c>
      <c r="P1105" s="564">
        <f t="shared" ca="1" si="90"/>
        <v>31</v>
      </c>
      <c r="Q1105" s="552">
        <f t="shared" ca="1" si="88"/>
        <v>5499.9708333333328</v>
      </c>
      <c r="R1105" s="563">
        <f t="shared" ca="1" si="91"/>
        <v>5499.9708333333328</v>
      </c>
      <c r="S1105" s="565" t="s">
        <v>61</v>
      </c>
    </row>
    <row r="1106" spans="2:19" ht="50.1" customHeight="1" x14ac:dyDescent="0.25">
      <c r="B1106" s="861">
        <v>44921</v>
      </c>
      <c r="C1106" s="583" t="s">
        <v>2349</v>
      </c>
      <c r="D1106" s="583"/>
      <c r="E1106" s="548" t="s">
        <v>2122</v>
      </c>
      <c r="F1106" s="585" t="s">
        <v>2209</v>
      </c>
      <c r="G1106" s="549" t="s">
        <v>1875</v>
      </c>
      <c r="H1106" s="584" t="s">
        <v>2210</v>
      </c>
      <c r="I1106" s="548" t="s">
        <v>2132</v>
      </c>
      <c r="J1106" s="641" t="s">
        <v>1594</v>
      </c>
      <c r="K1106" s="580">
        <v>11379.25</v>
      </c>
      <c r="L1106" s="580">
        <v>55.843200000000003</v>
      </c>
      <c r="M1106" s="552">
        <f t="shared" si="92"/>
        <v>203.77145292533379</v>
      </c>
      <c r="N1106" s="526">
        <v>60</v>
      </c>
      <c r="O1106" s="563">
        <f t="shared" si="89"/>
        <v>189.65416666666667</v>
      </c>
      <c r="P1106" s="564">
        <f t="shared" ca="1" si="90"/>
        <v>31</v>
      </c>
      <c r="Q1106" s="552">
        <f t="shared" ca="1" si="88"/>
        <v>5499.9708333333328</v>
      </c>
      <c r="R1106" s="563">
        <f t="shared" ca="1" si="91"/>
        <v>5499.9708333333328</v>
      </c>
      <c r="S1106" s="565" t="s">
        <v>61</v>
      </c>
    </row>
    <row r="1107" spans="2:19" ht="50.1" customHeight="1" x14ac:dyDescent="0.25">
      <c r="B1107" s="861">
        <v>44921</v>
      </c>
      <c r="C1107" s="583" t="s">
        <v>2349</v>
      </c>
      <c r="D1107" s="583"/>
      <c r="E1107" s="548" t="s">
        <v>2122</v>
      </c>
      <c r="F1107" s="585" t="s">
        <v>2211</v>
      </c>
      <c r="G1107" s="549" t="s">
        <v>1875</v>
      </c>
      <c r="H1107" s="584" t="s">
        <v>2212</v>
      </c>
      <c r="I1107" s="548" t="s">
        <v>2132</v>
      </c>
      <c r="J1107" s="641" t="s">
        <v>1594</v>
      </c>
      <c r="K1107" s="580">
        <v>11379.25</v>
      </c>
      <c r="L1107" s="580">
        <v>55.843200000000003</v>
      </c>
      <c r="M1107" s="552">
        <f t="shared" si="92"/>
        <v>203.77145292533379</v>
      </c>
      <c r="N1107" s="526">
        <v>60</v>
      </c>
      <c r="O1107" s="563">
        <f t="shared" si="89"/>
        <v>189.65416666666667</v>
      </c>
      <c r="P1107" s="564">
        <f t="shared" ca="1" si="90"/>
        <v>31</v>
      </c>
      <c r="Q1107" s="552">
        <f t="shared" ca="1" si="88"/>
        <v>5499.9708333333328</v>
      </c>
      <c r="R1107" s="563">
        <f t="shared" ca="1" si="91"/>
        <v>5499.9708333333328</v>
      </c>
      <c r="S1107" s="565" t="s">
        <v>61</v>
      </c>
    </row>
    <row r="1108" spans="2:19" ht="50.1" customHeight="1" x14ac:dyDescent="0.25">
      <c r="B1108" s="861">
        <v>44921</v>
      </c>
      <c r="C1108" s="583" t="s">
        <v>2349</v>
      </c>
      <c r="D1108" s="583"/>
      <c r="E1108" s="548" t="s">
        <v>2122</v>
      </c>
      <c r="F1108" s="585" t="s">
        <v>2213</v>
      </c>
      <c r="G1108" s="549" t="s">
        <v>1875</v>
      </c>
      <c r="H1108" s="584" t="s">
        <v>2214</v>
      </c>
      <c r="I1108" s="548" t="s">
        <v>2132</v>
      </c>
      <c r="J1108" s="641" t="s">
        <v>1594</v>
      </c>
      <c r="K1108" s="580">
        <v>11379.25</v>
      </c>
      <c r="L1108" s="580">
        <v>55.843200000000003</v>
      </c>
      <c r="M1108" s="552">
        <f t="shared" si="92"/>
        <v>203.77145292533379</v>
      </c>
      <c r="N1108" s="526">
        <v>60</v>
      </c>
      <c r="O1108" s="563">
        <f t="shared" si="89"/>
        <v>189.65416666666667</v>
      </c>
      <c r="P1108" s="564">
        <f t="shared" ca="1" si="90"/>
        <v>31</v>
      </c>
      <c r="Q1108" s="552">
        <f t="shared" ca="1" si="88"/>
        <v>5499.9708333333328</v>
      </c>
      <c r="R1108" s="563">
        <f t="shared" ca="1" si="91"/>
        <v>5499.9708333333328</v>
      </c>
      <c r="S1108" s="565" t="s">
        <v>61</v>
      </c>
    </row>
    <row r="1109" spans="2:19" ht="50.1" customHeight="1" x14ac:dyDescent="0.25">
      <c r="B1109" s="861">
        <v>44921</v>
      </c>
      <c r="C1109" s="583" t="s">
        <v>2349</v>
      </c>
      <c r="D1109" s="583"/>
      <c r="E1109" s="548" t="s">
        <v>2122</v>
      </c>
      <c r="F1109" s="585" t="s">
        <v>2215</v>
      </c>
      <c r="G1109" s="549" t="s">
        <v>1875</v>
      </c>
      <c r="H1109" s="584" t="s">
        <v>2216</v>
      </c>
      <c r="I1109" s="548" t="s">
        <v>2132</v>
      </c>
      <c r="J1109" s="641" t="s">
        <v>1594</v>
      </c>
      <c r="K1109" s="580">
        <v>11379.25</v>
      </c>
      <c r="L1109" s="580">
        <v>55.843200000000003</v>
      </c>
      <c r="M1109" s="552">
        <f t="shared" si="92"/>
        <v>203.77145292533379</v>
      </c>
      <c r="N1109" s="526">
        <v>60</v>
      </c>
      <c r="O1109" s="563">
        <f t="shared" si="89"/>
        <v>189.65416666666667</v>
      </c>
      <c r="P1109" s="564">
        <f t="shared" ca="1" si="90"/>
        <v>31</v>
      </c>
      <c r="Q1109" s="552">
        <f t="shared" ca="1" si="88"/>
        <v>5499.9708333333328</v>
      </c>
      <c r="R1109" s="563">
        <f t="shared" ca="1" si="91"/>
        <v>5499.9708333333328</v>
      </c>
      <c r="S1109" s="565" t="s">
        <v>61</v>
      </c>
    </row>
    <row r="1110" spans="2:19" ht="50.1" customHeight="1" x14ac:dyDescent="0.25">
      <c r="B1110" s="861">
        <v>44921</v>
      </c>
      <c r="C1110" s="583" t="s">
        <v>2349</v>
      </c>
      <c r="D1110" s="583"/>
      <c r="E1110" s="548" t="s">
        <v>2122</v>
      </c>
      <c r="F1110" s="585" t="s">
        <v>2217</v>
      </c>
      <c r="G1110" s="549" t="s">
        <v>1875</v>
      </c>
      <c r="H1110" s="584" t="s">
        <v>2218</v>
      </c>
      <c r="I1110" s="548" t="s">
        <v>2132</v>
      </c>
      <c r="J1110" s="641" t="s">
        <v>1594</v>
      </c>
      <c r="K1110" s="580">
        <v>11379.25</v>
      </c>
      <c r="L1110" s="580">
        <v>55.843200000000003</v>
      </c>
      <c r="M1110" s="552">
        <f t="shared" si="92"/>
        <v>203.77145292533379</v>
      </c>
      <c r="N1110" s="526">
        <v>60</v>
      </c>
      <c r="O1110" s="563">
        <f t="shared" si="89"/>
        <v>189.65416666666667</v>
      </c>
      <c r="P1110" s="564">
        <f t="shared" ca="1" si="90"/>
        <v>31</v>
      </c>
      <c r="Q1110" s="552">
        <f t="shared" ca="1" si="88"/>
        <v>5499.9708333333328</v>
      </c>
      <c r="R1110" s="563">
        <f t="shared" ca="1" si="91"/>
        <v>5499.9708333333328</v>
      </c>
      <c r="S1110" s="565" t="s">
        <v>61</v>
      </c>
    </row>
    <row r="1111" spans="2:19" ht="50.1" customHeight="1" x14ac:dyDescent="0.25">
      <c r="B1111" s="861">
        <v>44921</v>
      </c>
      <c r="C1111" s="583" t="s">
        <v>2349</v>
      </c>
      <c r="D1111" s="583"/>
      <c r="E1111" s="548" t="s">
        <v>2122</v>
      </c>
      <c r="F1111" s="585" t="s">
        <v>2219</v>
      </c>
      <c r="G1111" s="549" t="s">
        <v>1875</v>
      </c>
      <c r="H1111" s="584" t="s">
        <v>2220</v>
      </c>
      <c r="I1111" s="548" t="s">
        <v>2132</v>
      </c>
      <c r="J1111" s="641" t="s">
        <v>1594</v>
      </c>
      <c r="K1111" s="580">
        <v>11379.25</v>
      </c>
      <c r="L1111" s="580">
        <v>55.843200000000003</v>
      </c>
      <c r="M1111" s="552">
        <f t="shared" si="92"/>
        <v>203.77145292533379</v>
      </c>
      <c r="N1111" s="526">
        <v>60</v>
      </c>
      <c r="O1111" s="563">
        <f t="shared" si="89"/>
        <v>189.65416666666667</v>
      </c>
      <c r="P1111" s="564">
        <f t="shared" ca="1" si="90"/>
        <v>31</v>
      </c>
      <c r="Q1111" s="552">
        <f t="shared" ca="1" si="88"/>
        <v>5499.9708333333328</v>
      </c>
      <c r="R1111" s="563">
        <f t="shared" ca="1" si="91"/>
        <v>5499.9708333333328</v>
      </c>
      <c r="S1111" s="565" t="s">
        <v>61</v>
      </c>
    </row>
    <row r="1112" spans="2:19" ht="50.1" customHeight="1" x14ac:dyDescent="0.25">
      <c r="B1112" s="861">
        <v>44921</v>
      </c>
      <c r="C1112" s="583" t="s">
        <v>2349</v>
      </c>
      <c r="D1112" s="583"/>
      <c r="E1112" s="548" t="s">
        <v>2122</v>
      </c>
      <c r="F1112" s="585" t="s">
        <v>2221</v>
      </c>
      <c r="G1112" s="549" t="s">
        <v>1875</v>
      </c>
      <c r="H1112" s="584" t="s">
        <v>2222</v>
      </c>
      <c r="I1112" s="548" t="s">
        <v>2132</v>
      </c>
      <c r="J1112" s="641" t="s">
        <v>1594</v>
      </c>
      <c r="K1112" s="580">
        <v>11379.25</v>
      </c>
      <c r="L1112" s="580">
        <v>55.843200000000003</v>
      </c>
      <c r="M1112" s="552">
        <f t="shared" si="92"/>
        <v>203.77145292533379</v>
      </c>
      <c r="N1112" s="526">
        <v>60</v>
      </c>
      <c r="O1112" s="563">
        <f t="shared" si="89"/>
        <v>189.65416666666667</v>
      </c>
      <c r="P1112" s="564">
        <f t="shared" ca="1" si="90"/>
        <v>31</v>
      </c>
      <c r="Q1112" s="552">
        <f t="shared" ca="1" si="88"/>
        <v>5499.9708333333328</v>
      </c>
      <c r="R1112" s="563">
        <f t="shared" ca="1" si="91"/>
        <v>5499.9708333333328</v>
      </c>
      <c r="S1112" s="565" t="s">
        <v>61</v>
      </c>
    </row>
    <row r="1113" spans="2:19" ht="50.1" customHeight="1" x14ac:dyDescent="0.25">
      <c r="B1113" s="861">
        <v>44921</v>
      </c>
      <c r="C1113" s="583" t="s">
        <v>2349</v>
      </c>
      <c r="D1113" s="583"/>
      <c r="E1113" s="548" t="s">
        <v>2122</v>
      </c>
      <c r="F1113" s="585" t="s">
        <v>2223</v>
      </c>
      <c r="G1113" s="549" t="s">
        <v>1875</v>
      </c>
      <c r="H1113" s="584" t="s">
        <v>2224</v>
      </c>
      <c r="I1113" s="548" t="s">
        <v>2132</v>
      </c>
      <c r="J1113" s="641" t="s">
        <v>1594</v>
      </c>
      <c r="K1113" s="580">
        <v>11379.25</v>
      </c>
      <c r="L1113" s="580">
        <v>55.843200000000003</v>
      </c>
      <c r="M1113" s="552">
        <f t="shared" si="92"/>
        <v>203.77145292533379</v>
      </c>
      <c r="N1113" s="526">
        <v>60</v>
      </c>
      <c r="O1113" s="563">
        <f t="shared" si="89"/>
        <v>189.65416666666667</v>
      </c>
      <c r="P1113" s="564">
        <f t="shared" ca="1" si="90"/>
        <v>31</v>
      </c>
      <c r="Q1113" s="552">
        <f t="shared" ca="1" si="88"/>
        <v>5499.9708333333328</v>
      </c>
      <c r="R1113" s="563">
        <f t="shared" ca="1" si="91"/>
        <v>5499.9708333333328</v>
      </c>
      <c r="S1113" s="565" t="s">
        <v>61</v>
      </c>
    </row>
    <row r="1114" spans="2:19" ht="50.1" customHeight="1" x14ac:dyDescent="0.25">
      <c r="B1114" s="861">
        <v>44921</v>
      </c>
      <c r="C1114" s="583" t="s">
        <v>2349</v>
      </c>
      <c r="D1114" s="583"/>
      <c r="E1114" s="548" t="s">
        <v>2122</v>
      </c>
      <c r="F1114" s="585" t="s">
        <v>2225</v>
      </c>
      <c r="G1114" s="549" t="s">
        <v>1875</v>
      </c>
      <c r="H1114" s="584" t="s">
        <v>2226</v>
      </c>
      <c r="I1114" s="548" t="s">
        <v>2132</v>
      </c>
      <c r="J1114" s="641" t="s">
        <v>1594</v>
      </c>
      <c r="K1114" s="580">
        <v>11379.25</v>
      </c>
      <c r="L1114" s="580">
        <v>55.843200000000003</v>
      </c>
      <c r="M1114" s="552">
        <f t="shared" si="92"/>
        <v>203.77145292533379</v>
      </c>
      <c r="N1114" s="526">
        <v>60</v>
      </c>
      <c r="O1114" s="563">
        <f t="shared" si="89"/>
        <v>189.65416666666667</v>
      </c>
      <c r="P1114" s="564">
        <f t="shared" ca="1" si="90"/>
        <v>31</v>
      </c>
      <c r="Q1114" s="552">
        <f t="shared" ca="1" si="88"/>
        <v>5499.9708333333328</v>
      </c>
      <c r="R1114" s="563">
        <f t="shared" ca="1" si="91"/>
        <v>5499.9708333333328</v>
      </c>
      <c r="S1114" s="565" t="s">
        <v>61</v>
      </c>
    </row>
    <row r="1115" spans="2:19" ht="50.1" customHeight="1" x14ac:dyDescent="0.25">
      <c r="B1115" s="861">
        <v>44921</v>
      </c>
      <c r="C1115" s="583" t="s">
        <v>2349</v>
      </c>
      <c r="D1115" s="583"/>
      <c r="E1115" s="548" t="s">
        <v>2122</v>
      </c>
      <c r="F1115" s="585" t="s">
        <v>2227</v>
      </c>
      <c r="G1115" s="549" t="s">
        <v>1875</v>
      </c>
      <c r="H1115" s="584" t="s">
        <v>2228</v>
      </c>
      <c r="I1115" s="548" t="s">
        <v>2132</v>
      </c>
      <c r="J1115" s="641" t="s">
        <v>1594</v>
      </c>
      <c r="K1115" s="580">
        <v>11379.25</v>
      </c>
      <c r="L1115" s="580">
        <v>55.843200000000003</v>
      </c>
      <c r="M1115" s="552">
        <f t="shared" si="92"/>
        <v>203.77145292533379</v>
      </c>
      <c r="N1115" s="526">
        <v>60</v>
      </c>
      <c r="O1115" s="563">
        <f t="shared" si="89"/>
        <v>189.65416666666667</v>
      </c>
      <c r="P1115" s="564">
        <f t="shared" ca="1" si="90"/>
        <v>31</v>
      </c>
      <c r="Q1115" s="552">
        <f t="shared" ca="1" si="88"/>
        <v>5499.9708333333328</v>
      </c>
      <c r="R1115" s="563">
        <f t="shared" ca="1" si="91"/>
        <v>5499.9708333333328</v>
      </c>
      <c r="S1115" s="565" t="s">
        <v>61</v>
      </c>
    </row>
    <row r="1116" spans="2:19" ht="50.1" customHeight="1" x14ac:dyDescent="0.25">
      <c r="B1116" s="861">
        <v>44921</v>
      </c>
      <c r="C1116" s="583" t="s">
        <v>2349</v>
      </c>
      <c r="D1116" s="583"/>
      <c r="E1116" s="548" t="s">
        <v>2122</v>
      </c>
      <c r="F1116" s="585" t="s">
        <v>2229</v>
      </c>
      <c r="G1116" s="549" t="s">
        <v>1875</v>
      </c>
      <c r="H1116" s="584" t="s">
        <v>2230</v>
      </c>
      <c r="I1116" s="548" t="s">
        <v>2132</v>
      </c>
      <c r="J1116" s="641" t="s">
        <v>1594</v>
      </c>
      <c r="K1116" s="580">
        <v>11379.25</v>
      </c>
      <c r="L1116" s="580">
        <v>55.843200000000003</v>
      </c>
      <c r="M1116" s="552">
        <f t="shared" si="92"/>
        <v>203.77145292533379</v>
      </c>
      <c r="N1116" s="526">
        <v>60</v>
      </c>
      <c r="O1116" s="563">
        <f t="shared" si="89"/>
        <v>189.65416666666667</v>
      </c>
      <c r="P1116" s="564">
        <f t="shared" ca="1" si="90"/>
        <v>31</v>
      </c>
      <c r="Q1116" s="552">
        <f t="shared" ca="1" si="88"/>
        <v>5499.9708333333328</v>
      </c>
      <c r="R1116" s="563">
        <f t="shared" ca="1" si="91"/>
        <v>5499.9708333333328</v>
      </c>
      <c r="S1116" s="565" t="s">
        <v>61</v>
      </c>
    </row>
    <row r="1117" spans="2:19" ht="50.1" customHeight="1" x14ac:dyDescent="0.25">
      <c r="B1117" s="861">
        <v>44921</v>
      </c>
      <c r="C1117" s="583" t="s">
        <v>2349</v>
      </c>
      <c r="D1117" s="583"/>
      <c r="E1117" s="548" t="s">
        <v>2122</v>
      </c>
      <c r="F1117" s="585" t="s">
        <v>2231</v>
      </c>
      <c r="G1117" s="549" t="s">
        <v>1875</v>
      </c>
      <c r="H1117" s="584" t="s">
        <v>2232</v>
      </c>
      <c r="I1117" s="548" t="s">
        <v>2132</v>
      </c>
      <c r="J1117" s="641" t="s">
        <v>1594</v>
      </c>
      <c r="K1117" s="580">
        <v>11379.25</v>
      </c>
      <c r="L1117" s="580">
        <v>55.843200000000003</v>
      </c>
      <c r="M1117" s="552">
        <f t="shared" si="92"/>
        <v>203.77145292533379</v>
      </c>
      <c r="N1117" s="526">
        <v>60</v>
      </c>
      <c r="O1117" s="563">
        <f t="shared" si="89"/>
        <v>189.65416666666667</v>
      </c>
      <c r="P1117" s="564">
        <f t="shared" ca="1" si="90"/>
        <v>31</v>
      </c>
      <c r="Q1117" s="552">
        <f t="shared" ca="1" si="88"/>
        <v>5499.9708333333328</v>
      </c>
      <c r="R1117" s="563">
        <f t="shared" ca="1" si="91"/>
        <v>5499.9708333333328</v>
      </c>
      <c r="S1117" s="565" t="s">
        <v>61</v>
      </c>
    </row>
    <row r="1118" spans="2:19" ht="50.1" customHeight="1" x14ac:dyDescent="0.25">
      <c r="B1118" s="861">
        <v>44921</v>
      </c>
      <c r="C1118" s="583" t="s">
        <v>2349</v>
      </c>
      <c r="D1118" s="583"/>
      <c r="E1118" s="548" t="s">
        <v>2122</v>
      </c>
      <c r="F1118" s="585" t="s">
        <v>2233</v>
      </c>
      <c r="G1118" s="549" t="s">
        <v>1875</v>
      </c>
      <c r="H1118" s="584" t="s">
        <v>2234</v>
      </c>
      <c r="I1118" s="548" t="s">
        <v>2132</v>
      </c>
      <c r="J1118" s="641" t="s">
        <v>1594</v>
      </c>
      <c r="K1118" s="580">
        <v>11379.25</v>
      </c>
      <c r="L1118" s="580">
        <v>55.843200000000003</v>
      </c>
      <c r="M1118" s="552">
        <f t="shared" si="92"/>
        <v>203.77145292533379</v>
      </c>
      <c r="N1118" s="526">
        <v>60</v>
      </c>
      <c r="O1118" s="563">
        <f t="shared" si="89"/>
        <v>189.65416666666667</v>
      </c>
      <c r="P1118" s="564">
        <f t="shared" ca="1" si="90"/>
        <v>31</v>
      </c>
      <c r="Q1118" s="552">
        <f t="shared" ca="1" si="88"/>
        <v>5499.9708333333328</v>
      </c>
      <c r="R1118" s="563">
        <f t="shared" ca="1" si="91"/>
        <v>5499.9708333333328</v>
      </c>
      <c r="S1118" s="565" t="s">
        <v>61</v>
      </c>
    </row>
    <row r="1119" spans="2:19" ht="50.1" customHeight="1" x14ac:dyDescent="0.25">
      <c r="B1119" s="861">
        <v>44921</v>
      </c>
      <c r="C1119" s="583" t="s">
        <v>2349</v>
      </c>
      <c r="D1119" s="583"/>
      <c r="E1119" s="548" t="s">
        <v>2122</v>
      </c>
      <c r="F1119" s="585" t="s">
        <v>2235</v>
      </c>
      <c r="G1119" s="549" t="s">
        <v>1875</v>
      </c>
      <c r="H1119" s="584" t="s">
        <v>2236</v>
      </c>
      <c r="I1119" s="548" t="s">
        <v>2132</v>
      </c>
      <c r="J1119" s="641" t="s">
        <v>1594</v>
      </c>
      <c r="K1119" s="580">
        <v>11379.25</v>
      </c>
      <c r="L1119" s="580">
        <v>55.843200000000003</v>
      </c>
      <c r="M1119" s="552">
        <f t="shared" si="92"/>
        <v>203.77145292533379</v>
      </c>
      <c r="N1119" s="526">
        <v>60</v>
      </c>
      <c r="O1119" s="563">
        <f t="shared" si="89"/>
        <v>189.65416666666667</v>
      </c>
      <c r="P1119" s="564">
        <f t="shared" ca="1" si="90"/>
        <v>31</v>
      </c>
      <c r="Q1119" s="552">
        <f t="shared" ca="1" si="88"/>
        <v>5499.9708333333328</v>
      </c>
      <c r="R1119" s="563">
        <f t="shared" ca="1" si="91"/>
        <v>5499.9708333333328</v>
      </c>
      <c r="S1119" s="565" t="s">
        <v>61</v>
      </c>
    </row>
    <row r="1120" spans="2:19" ht="50.1" customHeight="1" x14ac:dyDescent="0.25">
      <c r="B1120" s="861">
        <v>44921</v>
      </c>
      <c r="C1120" s="583" t="s">
        <v>2349</v>
      </c>
      <c r="D1120" s="583"/>
      <c r="E1120" s="548" t="s">
        <v>2122</v>
      </c>
      <c r="F1120" s="585" t="s">
        <v>2237</v>
      </c>
      <c r="G1120" s="549" t="s">
        <v>1875</v>
      </c>
      <c r="H1120" s="584" t="s">
        <v>2238</v>
      </c>
      <c r="I1120" s="548" t="s">
        <v>2132</v>
      </c>
      <c r="J1120" s="641" t="s">
        <v>1594</v>
      </c>
      <c r="K1120" s="580">
        <v>11379.25</v>
      </c>
      <c r="L1120" s="580">
        <v>55.843200000000003</v>
      </c>
      <c r="M1120" s="552">
        <f t="shared" si="92"/>
        <v>203.77145292533379</v>
      </c>
      <c r="N1120" s="526">
        <v>60</v>
      </c>
      <c r="O1120" s="563">
        <f t="shared" si="89"/>
        <v>189.65416666666667</v>
      </c>
      <c r="P1120" s="564">
        <f t="shared" ca="1" si="90"/>
        <v>31</v>
      </c>
      <c r="Q1120" s="552">
        <f t="shared" ca="1" si="88"/>
        <v>5499.9708333333328</v>
      </c>
      <c r="R1120" s="563">
        <f t="shared" ca="1" si="91"/>
        <v>5499.9708333333328</v>
      </c>
      <c r="S1120" s="565" t="s">
        <v>61</v>
      </c>
    </row>
    <row r="1121" spans="2:19" ht="50.1" customHeight="1" x14ac:dyDescent="0.25">
      <c r="B1121" s="861">
        <v>44921</v>
      </c>
      <c r="C1121" s="583" t="s">
        <v>2349</v>
      </c>
      <c r="D1121" s="583"/>
      <c r="E1121" s="548" t="s">
        <v>2122</v>
      </c>
      <c r="F1121" s="585" t="s">
        <v>2239</v>
      </c>
      <c r="G1121" s="549" t="s">
        <v>1875</v>
      </c>
      <c r="H1121" s="584" t="s">
        <v>2240</v>
      </c>
      <c r="I1121" s="548" t="s">
        <v>2132</v>
      </c>
      <c r="J1121" s="641" t="s">
        <v>1594</v>
      </c>
      <c r="K1121" s="580">
        <v>11379.25</v>
      </c>
      <c r="L1121" s="580">
        <v>55.843200000000003</v>
      </c>
      <c r="M1121" s="552">
        <f t="shared" si="92"/>
        <v>203.77145292533379</v>
      </c>
      <c r="N1121" s="526">
        <v>60</v>
      </c>
      <c r="O1121" s="563">
        <f t="shared" si="89"/>
        <v>189.65416666666667</v>
      </c>
      <c r="P1121" s="564">
        <f t="shared" ca="1" si="90"/>
        <v>31</v>
      </c>
      <c r="Q1121" s="552">
        <f t="shared" ca="1" si="88"/>
        <v>5499.9708333333328</v>
      </c>
      <c r="R1121" s="563">
        <f t="shared" ca="1" si="91"/>
        <v>5499.9708333333328</v>
      </c>
      <c r="S1121" s="565" t="s">
        <v>61</v>
      </c>
    </row>
    <row r="1122" spans="2:19" ht="50.1" customHeight="1" x14ac:dyDescent="0.25">
      <c r="B1122" s="861">
        <v>44921</v>
      </c>
      <c r="C1122" s="583" t="s">
        <v>2349</v>
      </c>
      <c r="D1122" s="583"/>
      <c r="E1122" s="548" t="s">
        <v>2122</v>
      </c>
      <c r="F1122" s="585" t="s">
        <v>2241</v>
      </c>
      <c r="G1122" s="549" t="s">
        <v>1875</v>
      </c>
      <c r="H1122" s="584" t="s">
        <v>2242</v>
      </c>
      <c r="I1122" s="548" t="s">
        <v>2132</v>
      </c>
      <c r="J1122" s="641" t="s">
        <v>1594</v>
      </c>
      <c r="K1122" s="580">
        <v>11379.25</v>
      </c>
      <c r="L1122" s="580">
        <v>55.843200000000003</v>
      </c>
      <c r="M1122" s="552">
        <f t="shared" si="92"/>
        <v>203.77145292533379</v>
      </c>
      <c r="N1122" s="526">
        <v>60</v>
      </c>
      <c r="O1122" s="563">
        <f t="shared" si="89"/>
        <v>189.65416666666667</v>
      </c>
      <c r="P1122" s="564">
        <f t="shared" ca="1" si="90"/>
        <v>31</v>
      </c>
      <c r="Q1122" s="552">
        <f t="shared" ca="1" si="88"/>
        <v>5499.9708333333328</v>
      </c>
      <c r="R1122" s="563">
        <f t="shared" ca="1" si="91"/>
        <v>5499.9708333333328</v>
      </c>
      <c r="S1122" s="565" t="s">
        <v>61</v>
      </c>
    </row>
    <row r="1123" spans="2:19" ht="50.1" customHeight="1" x14ac:dyDescent="0.25">
      <c r="B1123" s="861">
        <v>44921</v>
      </c>
      <c r="C1123" s="583" t="s">
        <v>2349</v>
      </c>
      <c r="D1123" s="583"/>
      <c r="E1123" s="548" t="s">
        <v>2122</v>
      </c>
      <c r="F1123" s="585" t="s">
        <v>2243</v>
      </c>
      <c r="G1123" s="549" t="s">
        <v>1875</v>
      </c>
      <c r="H1123" s="584" t="s">
        <v>2244</v>
      </c>
      <c r="I1123" s="548" t="s">
        <v>2132</v>
      </c>
      <c r="J1123" s="641" t="s">
        <v>1594</v>
      </c>
      <c r="K1123" s="580">
        <v>11379.25</v>
      </c>
      <c r="L1123" s="580">
        <v>55.843200000000003</v>
      </c>
      <c r="M1123" s="552">
        <f t="shared" si="92"/>
        <v>203.77145292533379</v>
      </c>
      <c r="N1123" s="526">
        <v>60</v>
      </c>
      <c r="O1123" s="563">
        <f t="shared" si="89"/>
        <v>189.65416666666667</v>
      </c>
      <c r="P1123" s="564">
        <f t="shared" ca="1" si="90"/>
        <v>31</v>
      </c>
      <c r="Q1123" s="552">
        <f t="shared" ca="1" si="88"/>
        <v>5499.9708333333328</v>
      </c>
      <c r="R1123" s="563">
        <f t="shared" ca="1" si="91"/>
        <v>5499.9708333333328</v>
      </c>
      <c r="S1123" s="565" t="s">
        <v>61</v>
      </c>
    </row>
    <row r="1124" spans="2:19" ht="50.1" customHeight="1" x14ac:dyDescent="0.25">
      <c r="B1124" s="861">
        <v>44921</v>
      </c>
      <c r="C1124" s="583" t="s">
        <v>2349</v>
      </c>
      <c r="D1124" s="583"/>
      <c r="E1124" s="548" t="s">
        <v>2122</v>
      </c>
      <c r="F1124" s="585" t="s">
        <v>2245</v>
      </c>
      <c r="G1124" s="549" t="s">
        <v>1875</v>
      </c>
      <c r="H1124" s="584" t="s">
        <v>2246</v>
      </c>
      <c r="I1124" s="548" t="s">
        <v>2132</v>
      </c>
      <c r="J1124" s="641" t="s">
        <v>1594</v>
      </c>
      <c r="K1124" s="580">
        <v>11379.25</v>
      </c>
      <c r="L1124" s="580">
        <v>55.843200000000003</v>
      </c>
      <c r="M1124" s="552">
        <f t="shared" si="92"/>
        <v>203.77145292533379</v>
      </c>
      <c r="N1124" s="526">
        <v>60</v>
      </c>
      <c r="O1124" s="563">
        <f t="shared" si="89"/>
        <v>189.65416666666667</v>
      </c>
      <c r="P1124" s="564">
        <f t="shared" ca="1" si="90"/>
        <v>31</v>
      </c>
      <c r="Q1124" s="552">
        <f t="shared" ca="1" si="88"/>
        <v>5499.9708333333328</v>
      </c>
      <c r="R1124" s="563">
        <f t="shared" ca="1" si="91"/>
        <v>5499.9708333333328</v>
      </c>
      <c r="S1124" s="565" t="s">
        <v>61</v>
      </c>
    </row>
    <row r="1125" spans="2:19" ht="50.1" customHeight="1" x14ac:dyDescent="0.25">
      <c r="B1125" s="861">
        <v>44921</v>
      </c>
      <c r="C1125" s="583" t="s">
        <v>2349</v>
      </c>
      <c r="D1125" s="583"/>
      <c r="E1125" s="548" t="s">
        <v>2122</v>
      </c>
      <c r="F1125" s="585" t="s">
        <v>2247</v>
      </c>
      <c r="G1125" s="549" t="s">
        <v>1875</v>
      </c>
      <c r="H1125" s="584" t="s">
        <v>2248</v>
      </c>
      <c r="I1125" s="548" t="s">
        <v>2132</v>
      </c>
      <c r="J1125" s="641" t="s">
        <v>1594</v>
      </c>
      <c r="K1125" s="580">
        <v>11379.25</v>
      </c>
      <c r="L1125" s="580">
        <v>55.843200000000003</v>
      </c>
      <c r="M1125" s="552">
        <f t="shared" si="92"/>
        <v>203.77145292533379</v>
      </c>
      <c r="N1125" s="526">
        <v>60</v>
      </c>
      <c r="O1125" s="563">
        <f t="shared" si="89"/>
        <v>189.65416666666667</v>
      </c>
      <c r="P1125" s="564">
        <f t="shared" ca="1" si="90"/>
        <v>31</v>
      </c>
      <c r="Q1125" s="552">
        <f t="shared" ca="1" si="88"/>
        <v>5499.9708333333328</v>
      </c>
      <c r="R1125" s="563">
        <f t="shared" ca="1" si="91"/>
        <v>5499.9708333333328</v>
      </c>
      <c r="S1125" s="565" t="s">
        <v>61</v>
      </c>
    </row>
    <row r="1126" spans="2:19" ht="50.1" customHeight="1" x14ac:dyDescent="0.25">
      <c r="B1126" s="861">
        <v>44921</v>
      </c>
      <c r="C1126" s="583" t="s">
        <v>2349</v>
      </c>
      <c r="D1126" s="583"/>
      <c r="E1126" s="548" t="s">
        <v>2122</v>
      </c>
      <c r="F1126" s="585" t="s">
        <v>2249</v>
      </c>
      <c r="G1126" s="549" t="s">
        <v>1875</v>
      </c>
      <c r="H1126" s="584" t="s">
        <v>2250</v>
      </c>
      <c r="I1126" s="548" t="s">
        <v>2132</v>
      </c>
      <c r="J1126" s="641" t="s">
        <v>1594</v>
      </c>
      <c r="K1126" s="580">
        <v>11379.25</v>
      </c>
      <c r="L1126" s="580">
        <v>55.843200000000003</v>
      </c>
      <c r="M1126" s="552">
        <f t="shared" si="92"/>
        <v>203.77145292533379</v>
      </c>
      <c r="N1126" s="526">
        <v>60</v>
      </c>
      <c r="O1126" s="563">
        <f t="shared" si="89"/>
        <v>189.65416666666667</v>
      </c>
      <c r="P1126" s="564">
        <f t="shared" ca="1" si="90"/>
        <v>31</v>
      </c>
      <c r="Q1126" s="552">
        <f t="shared" ca="1" si="88"/>
        <v>5499.9708333333328</v>
      </c>
      <c r="R1126" s="563">
        <f t="shared" ca="1" si="91"/>
        <v>5499.9708333333328</v>
      </c>
      <c r="S1126" s="565" t="s">
        <v>61</v>
      </c>
    </row>
    <row r="1127" spans="2:19" ht="50.1" customHeight="1" x14ac:dyDescent="0.25">
      <c r="B1127" s="861">
        <v>44921</v>
      </c>
      <c r="C1127" s="583" t="s">
        <v>2349</v>
      </c>
      <c r="D1127" s="583"/>
      <c r="E1127" s="548" t="s">
        <v>2122</v>
      </c>
      <c r="F1127" s="585" t="s">
        <v>2272</v>
      </c>
      <c r="G1127" s="549" t="s">
        <v>2273</v>
      </c>
      <c r="H1127" s="584" t="s">
        <v>2274</v>
      </c>
      <c r="I1127" s="575" t="s">
        <v>1594</v>
      </c>
      <c r="J1127" s="548" t="s">
        <v>2132</v>
      </c>
      <c r="K1127" s="580">
        <v>51691.29</v>
      </c>
      <c r="L1127" s="580">
        <v>55.843200000000003</v>
      </c>
      <c r="M1127" s="552">
        <f t="shared" si="92"/>
        <v>925.65057160048127</v>
      </c>
      <c r="N1127" s="526">
        <v>60</v>
      </c>
      <c r="O1127" s="563">
        <f t="shared" si="89"/>
        <v>861.52150000000006</v>
      </c>
      <c r="P1127" s="564">
        <f t="shared" ca="1" si="90"/>
        <v>31</v>
      </c>
      <c r="Q1127" s="552">
        <f t="shared" ca="1" si="88"/>
        <v>24984.123499999998</v>
      </c>
      <c r="R1127" s="563">
        <f t="shared" ca="1" si="91"/>
        <v>24984.123499999998</v>
      </c>
      <c r="S1127" s="565" t="s">
        <v>61</v>
      </c>
    </row>
    <row r="1128" spans="2:19" ht="50.1" customHeight="1" x14ac:dyDescent="0.25">
      <c r="B1128" s="861">
        <v>44921</v>
      </c>
      <c r="C1128" s="583" t="s">
        <v>2349</v>
      </c>
      <c r="D1128" s="583"/>
      <c r="E1128" s="548" t="s">
        <v>2122</v>
      </c>
      <c r="F1128" s="585" t="s">
        <v>2275</v>
      </c>
      <c r="G1128" s="549" t="s">
        <v>2273</v>
      </c>
      <c r="H1128" s="584" t="s">
        <v>2276</v>
      </c>
      <c r="I1128" s="575" t="s">
        <v>1594</v>
      </c>
      <c r="J1128" s="548" t="s">
        <v>2132</v>
      </c>
      <c r="K1128" s="580">
        <v>51691.29</v>
      </c>
      <c r="L1128" s="580">
        <v>55.843200000000003</v>
      </c>
      <c r="M1128" s="552">
        <f t="shared" si="92"/>
        <v>925.65057160048127</v>
      </c>
      <c r="N1128" s="526">
        <v>60</v>
      </c>
      <c r="O1128" s="563">
        <f t="shared" si="89"/>
        <v>861.52150000000006</v>
      </c>
      <c r="P1128" s="564">
        <f t="shared" ca="1" si="90"/>
        <v>31</v>
      </c>
      <c r="Q1128" s="552">
        <f t="shared" ca="1" si="88"/>
        <v>24984.123499999998</v>
      </c>
      <c r="R1128" s="563">
        <f t="shared" ca="1" si="91"/>
        <v>24984.123499999998</v>
      </c>
      <c r="S1128" s="565" t="s">
        <v>61</v>
      </c>
    </row>
    <row r="1129" spans="2:19" ht="50.1" customHeight="1" x14ac:dyDescent="0.25">
      <c r="B1129" s="861">
        <v>44921</v>
      </c>
      <c r="C1129" s="583" t="s">
        <v>2349</v>
      </c>
      <c r="D1129" s="583"/>
      <c r="E1129" s="548" t="s">
        <v>2122</v>
      </c>
      <c r="F1129" s="585" t="s">
        <v>2277</v>
      </c>
      <c r="G1129" s="549" t="s">
        <v>2273</v>
      </c>
      <c r="H1129" s="584" t="s">
        <v>2276</v>
      </c>
      <c r="I1129" s="575" t="s">
        <v>1594</v>
      </c>
      <c r="J1129" s="548" t="s">
        <v>2132</v>
      </c>
      <c r="K1129" s="580">
        <v>51691.29</v>
      </c>
      <c r="L1129" s="580">
        <v>55.843200000000003</v>
      </c>
      <c r="M1129" s="552">
        <f t="shared" si="92"/>
        <v>925.65057160048127</v>
      </c>
      <c r="N1129" s="526">
        <v>60</v>
      </c>
      <c r="O1129" s="563">
        <f t="shared" si="89"/>
        <v>861.52150000000006</v>
      </c>
      <c r="P1129" s="564">
        <f t="shared" ca="1" si="90"/>
        <v>31</v>
      </c>
      <c r="Q1129" s="552">
        <f t="shared" ca="1" si="88"/>
        <v>24984.123499999998</v>
      </c>
      <c r="R1129" s="563">
        <f t="shared" ca="1" si="91"/>
        <v>24984.123499999998</v>
      </c>
      <c r="S1129" s="565" t="s">
        <v>61</v>
      </c>
    </row>
    <row r="1130" spans="2:19" ht="50.1" customHeight="1" x14ac:dyDescent="0.25">
      <c r="B1130" s="861">
        <v>44921</v>
      </c>
      <c r="C1130" s="583" t="s">
        <v>2349</v>
      </c>
      <c r="D1130" s="583"/>
      <c r="E1130" s="548" t="s">
        <v>2122</v>
      </c>
      <c r="F1130" s="585" t="s">
        <v>2278</v>
      </c>
      <c r="G1130" s="549" t="s">
        <v>2273</v>
      </c>
      <c r="H1130" s="584" t="s">
        <v>2279</v>
      </c>
      <c r="I1130" s="575" t="s">
        <v>1594</v>
      </c>
      <c r="J1130" s="548" t="s">
        <v>2132</v>
      </c>
      <c r="K1130" s="580">
        <v>51691.29</v>
      </c>
      <c r="L1130" s="580">
        <v>55.843200000000003</v>
      </c>
      <c r="M1130" s="552">
        <f t="shared" si="92"/>
        <v>925.65057160048127</v>
      </c>
      <c r="N1130" s="526">
        <v>60</v>
      </c>
      <c r="O1130" s="563">
        <f t="shared" si="89"/>
        <v>861.52150000000006</v>
      </c>
      <c r="P1130" s="564">
        <f t="shared" ca="1" si="90"/>
        <v>31</v>
      </c>
      <c r="Q1130" s="552">
        <f t="shared" ca="1" si="88"/>
        <v>24984.123499999998</v>
      </c>
      <c r="R1130" s="563">
        <f t="shared" ca="1" si="91"/>
        <v>24984.123499999998</v>
      </c>
      <c r="S1130" s="565" t="s">
        <v>61</v>
      </c>
    </row>
    <row r="1131" spans="2:19" ht="50.1" customHeight="1" x14ac:dyDescent="0.25">
      <c r="B1131" s="861">
        <v>44921</v>
      </c>
      <c r="C1131" s="583" t="s">
        <v>2349</v>
      </c>
      <c r="D1131" s="583"/>
      <c r="E1131" s="548" t="s">
        <v>2122</v>
      </c>
      <c r="F1131" s="585" t="s">
        <v>2280</v>
      </c>
      <c r="G1131" s="549" t="s">
        <v>2273</v>
      </c>
      <c r="H1131" s="584" t="s">
        <v>2281</v>
      </c>
      <c r="I1131" s="575" t="s">
        <v>1594</v>
      </c>
      <c r="J1131" s="548" t="s">
        <v>2132</v>
      </c>
      <c r="K1131" s="580">
        <v>51691.29</v>
      </c>
      <c r="L1131" s="580">
        <v>55.843200000000003</v>
      </c>
      <c r="M1131" s="552">
        <f t="shared" si="92"/>
        <v>925.65057160048127</v>
      </c>
      <c r="N1131" s="526">
        <v>60</v>
      </c>
      <c r="O1131" s="563">
        <f t="shared" si="89"/>
        <v>861.52150000000006</v>
      </c>
      <c r="P1131" s="564">
        <f t="shared" ca="1" si="90"/>
        <v>31</v>
      </c>
      <c r="Q1131" s="552">
        <f t="shared" ca="1" si="88"/>
        <v>24984.123499999998</v>
      </c>
      <c r="R1131" s="563">
        <f t="shared" ca="1" si="91"/>
        <v>24984.123499999998</v>
      </c>
      <c r="S1131" s="565" t="s">
        <v>61</v>
      </c>
    </row>
    <row r="1132" spans="2:19" ht="50.1" customHeight="1" x14ac:dyDescent="0.25">
      <c r="B1132" s="861">
        <v>44921</v>
      </c>
      <c r="C1132" s="583" t="s">
        <v>2349</v>
      </c>
      <c r="D1132" s="583"/>
      <c r="E1132" s="548" t="s">
        <v>2122</v>
      </c>
      <c r="F1132" s="585" t="s">
        <v>2282</v>
      </c>
      <c r="G1132" s="549" t="s">
        <v>2273</v>
      </c>
      <c r="H1132" s="584" t="s">
        <v>2283</v>
      </c>
      <c r="I1132" s="575" t="s">
        <v>1594</v>
      </c>
      <c r="J1132" s="548" t="s">
        <v>2132</v>
      </c>
      <c r="K1132" s="580">
        <v>51691.29</v>
      </c>
      <c r="L1132" s="580">
        <v>55.843200000000003</v>
      </c>
      <c r="M1132" s="552">
        <f t="shared" si="92"/>
        <v>925.65057160048127</v>
      </c>
      <c r="N1132" s="526">
        <v>60</v>
      </c>
      <c r="O1132" s="563">
        <f t="shared" si="89"/>
        <v>861.52150000000006</v>
      </c>
      <c r="P1132" s="564">
        <f t="shared" ca="1" si="90"/>
        <v>31</v>
      </c>
      <c r="Q1132" s="552">
        <f t="shared" ca="1" si="88"/>
        <v>24984.123499999998</v>
      </c>
      <c r="R1132" s="563">
        <f t="shared" ca="1" si="91"/>
        <v>24984.123499999998</v>
      </c>
      <c r="S1132" s="565" t="s">
        <v>61</v>
      </c>
    </row>
    <row r="1133" spans="2:19" ht="50.1" customHeight="1" x14ac:dyDescent="0.25">
      <c r="B1133" s="861">
        <v>44921</v>
      </c>
      <c r="C1133" s="583" t="s">
        <v>2349</v>
      </c>
      <c r="D1133" s="583"/>
      <c r="E1133" s="548" t="s">
        <v>2122</v>
      </c>
      <c r="F1133" s="585" t="s">
        <v>2284</v>
      </c>
      <c r="G1133" s="549" t="s">
        <v>2273</v>
      </c>
      <c r="H1133" s="584" t="s">
        <v>2285</v>
      </c>
      <c r="I1133" s="575" t="s">
        <v>1594</v>
      </c>
      <c r="J1133" s="548" t="s">
        <v>2132</v>
      </c>
      <c r="K1133" s="580">
        <v>51691.29</v>
      </c>
      <c r="L1133" s="580">
        <v>55.843200000000003</v>
      </c>
      <c r="M1133" s="552">
        <f t="shared" si="92"/>
        <v>925.65057160048127</v>
      </c>
      <c r="N1133" s="526">
        <v>60</v>
      </c>
      <c r="O1133" s="563">
        <f t="shared" si="89"/>
        <v>861.52150000000006</v>
      </c>
      <c r="P1133" s="564">
        <f t="shared" ca="1" si="90"/>
        <v>31</v>
      </c>
      <c r="Q1133" s="552">
        <f t="shared" ca="1" si="88"/>
        <v>24984.123499999998</v>
      </c>
      <c r="R1133" s="563">
        <f t="shared" ca="1" si="91"/>
        <v>24984.123499999998</v>
      </c>
      <c r="S1133" s="565" t="s">
        <v>61</v>
      </c>
    </row>
    <row r="1134" spans="2:19" ht="50.1" customHeight="1" x14ac:dyDescent="0.25">
      <c r="B1134" s="861">
        <v>44921</v>
      </c>
      <c r="C1134" s="583" t="s">
        <v>2349</v>
      </c>
      <c r="D1134" s="583"/>
      <c r="E1134" s="548" t="s">
        <v>2122</v>
      </c>
      <c r="F1134" s="585" t="s">
        <v>2286</v>
      </c>
      <c r="G1134" s="549" t="s">
        <v>2273</v>
      </c>
      <c r="H1134" s="584" t="s">
        <v>2287</v>
      </c>
      <c r="I1134" s="575" t="s">
        <v>1594</v>
      </c>
      <c r="J1134" s="548" t="s">
        <v>2132</v>
      </c>
      <c r="K1134" s="580">
        <v>51691.29</v>
      </c>
      <c r="L1134" s="580">
        <v>55.843200000000003</v>
      </c>
      <c r="M1134" s="552">
        <f t="shared" si="92"/>
        <v>925.65057160048127</v>
      </c>
      <c r="N1134" s="526">
        <v>60</v>
      </c>
      <c r="O1134" s="563">
        <f t="shared" si="89"/>
        <v>861.52150000000006</v>
      </c>
      <c r="P1134" s="564">
        <f t="shared" ca="1" si="90"/>
        <v>31</v>
      </c>
      <c r="Q1134" s="552">
        <f t="shared" ca="1" si="88"/>
        <v>24984.123499999998</v>
      </c>
      <c r="R1134" s="563">
        <f t="shared" ca="1" si="91"/>
        <v>24984.123499999998</v>
      </c>
      <c r="S1134" s="565" t="s">
        <v>61</v>
      </c>
    </row>
    <row r="1135" spans="2:19" ht="50.1" customHeight="1" x14ac:dyDescent="0.25">
      <c r="B1135" s="861">
        <v>44921</v>
      </c>
      <c r="C1135" s="583" t="s">
        <v>2349</v>
      </c>
      <c r="D1135" s="583"/>
      <c r="E1135" s="548" t="s">
        <v>2122</v>
      </c>
      <c r="F1135" s="585" t="s">
        <v>2288</v>
      </c>
      <c r="G1135" s="549" t="s">
        <v>2273</v>
      </c>
      <c r="H1135" s="584" t="s">
        <v>2289</v>
      </c>
      <c r="I1135" s="575" t="s">
        <v>1594</v>
      </c>
      <c r="J1135" s="548" t="s">
        <v>2132</v>
      </c>
      <c r="K1135" s="580">
        <v>51691.29</v>
      </c>
      <c r="L1135" s="580">
        <v>55.843200000000003</v>
      </c>
      <c r="M1135" s="552">
        <f t="shared" si="92"/>
        <v>925.65057160048127</v>
      </c>
      <c r="N1135" s="526">
        <v>60</v>
      </c>
      <c r="O1135" s="563">
        <f t="shared" si="89"/>
        <v>861.52150000000006</v>
      </c>
      <c r="P1135" s="564">
        <f t="shared" ca="1" si="90"/>
        <v>31</v>
      </c>
      <c r="Q1135" s="552">
        <f t="shared" ca="1" si="88"/>
        <v>24984.123499999998</v>
      </c>
      <c r="R1135" s="563">
        <f t="shared" ca="1" si="91"/>
        <v>24984.123499999998</v>
      </c>
      <c r="S1135" s="565" t="s">
        <v>61</v>
      </c>
    </row>
    <row r="1136" spans="2:19" ht="50.1" customHeight="1" x14ac:dyDescent="0.25">
      <c r="B1136" s="861">
        <v>44921</v>
      </c>
      <c r="C1136" s="583" t="s">
        <v>2349</v>
      </c>
      <c r="D1136" s="583"/>
      <c r="E1136" s="548" t="s">
        <v>2122</v>
      </c>
      <c r="F1136" s="585" t="s">
        <v>2290</v>
      </c>
      <c r="G1136" s="549" t="s">
        <v>2273</v>
      </c>
      <c r="H1136" s="584" t="s">
        <v>2291</v>
      </c>
      <c r="I1136" s="575" t="s">
        <v>1594</v>
      </c>
      <c r="J1136" s="548" t="s">
        <v>2132</v>
      </c>
      <c r="K1136" s="580">
        <v>51691.29</v>
      </c>
      <c r="L1136" s="580">
        <v>55.843200000000003</v>
      </c>
      <c r="M1136" s="552">
        <f t="shared" si="92"/>
        <v>925.65057160048127</v>
      </c>
      <c r="N1136" s="526">
        <v>60</v>
      </c>
      <c r="O1136" s="563">
        <f t="shared" si="89"/>
        <v>861.52150000000006</v>
      </c>
      <c r="P1136" s="564">
        <f t="shared" ca="1" si="90"/>
        <v>31</v>
      </c>
      <c r="Q1136" s="552">
        <f t="shared" ca="1" si="88"/>
        <v>24984.123499999998</v>
      </c>
      <c r="R1136" s="563">
        <f t="shared" ca="1" si="91"/>
        <v>24984.123499999998</v>
      </c>
      <c r="S1136" s="565" t="s">
        <v>61</v>
      </c>
    </row>
    <row r="1137" spans="2:19" ht="50.1" customHeight="1" x14ac:dyDescent="0.25">
      <c r="B1137" s="861">
        <v>44921</v>
      </c>
      <c r="C1137" s="583" t="s">
        <v>2349</v>
      </c>
      <c r="D1137" s="583"/>
      <c r="E1137" s="548" t="s">
        <v>2122</v>
      </c>
      <c r="F1137" s="585" t="s">
        <v>2292</v>
      </c>
      <c r="G1137" s="549" t="s">
        <v>2273</v>
      </c>
      <c r="H1137" s="584" t="s">
        <v>2293</v>
      </c>
      <c r="I1137" s="575" t="s">
        <v>1594</v>
      </c>
      <c r="J1137" s="548" t="s">
        <v>2132</v>
      </c>
      <c r="K1137" s="580">
        <v>51691.29</v>
      </c>
      <c r="L1137" s="580">
        <v>55.843200000000003</v>
      </c>
      <c r="M1137" s="552">
        <f t="shared" si="92"/>
        <v>925.65057160048127</v>
      </c>
      <c r="N1137" s="526">
        <v>60</v>
      </c>
      <c r="O1137" s="563">
        <f t="shared" si="89"/>
        <v>861.52150000000006</v>
      </c>
      <c r="P1137" s="564">
        <f t="shared" ca="1" si="90"/>
        <v>31</v>
      </c>
      <c r="Q1137" s="552">
        <f t="shared" ca="1" si="88"/>
        <v>24984.123499999998</v>
      </c>
      <c r="R1137" s="563">
        <f t="shared" ca="1" si="91"/>
        <v>24984.123499999998</v>
      </c>
      <c r="S1137" s="565" t="s">
        <v>61</v>
      </c>
    </row>
    <row r="1138" spans="2:19" ht="50.1" customHeight="1" x14ac:dyDescent="0.25">
      <c r="B1138" s="861">
        <v>44921</v>
      </c>
      <c r="C1138" s="583" t="s">
        <v>2349</v>
      </c>
      <c r="D1138" s="583"/>
      <c r="E1138" s="548" t="s">
        <v>2122</v>
      </c>
      <c r="F1138" s="585" t="s">
        <v>2294</v>
      </c>
      <c r="G1138" s="549" t="s">
        <v>2273</v>
      </c>
      <c r="H1138" s="584" t="s">
        <v>2295</v>
      </c>
      <c r="I1138" s="575" t="s">
        <v>1594</v>
      </c>
      <c r="J1138" s="548" t="s">
        <v>2132</v>
      </c>
      <c r="K1138" s="580">
        <v>51691.29</v>
      </c>
      <c r="L1138" s="580">
        <v>55.843200000000003</v>
      </c>
      <c r="M1138" s="552">
        <f t="shared" si="92"/>
        <v>925.65057160048127</v>
      </c>
      <c r="N1138" s="526">
        <v>60</v>
      </c>
      <c r="O1138" s="563">
        <f t="shared" si="89"/>
        <v>861.52150000000006</v>
      </c>
      <c r="P1138" s="564">
        <f t="shared" ca="1" si="90"/>
        <v>31</v>
      </c>
      <c r="Q1138" s="552">
        <f t="shared" ca="1" si="88"/>
        <v>24984.123499999998</v>
      </c>
      <c r="R1138" s="563">
        <f t="shared" ca="1" si="91"/>
        <v>24984.123499999998</v>
      </c>
      <c r="S1138" s="565" t="s">
        <v>61</v>
      </c>
    </row>
    <row r="1139" spans="2:19" ht="50.1" customHeight="1" x14ac:dyDescent="0.25">
      <c r="B1139" s="861">
        <v>44921</v>
      </c>
      <c r="C1139" s="583" t="s">
        <v>2349</v>
      </c>
      <c r="D1139" s="583"/>
      <c r="E1139" s="548" t="s">
        <v>2122</v>
      </c>
      <c r="F1139" s="585" t="s">
        <v>2296</v>
      </c>
      <c r="G1139" s="549" t="s">
        <v>2273</v>
      </c>
      <c r="H1139" s="584" t="s">
        <v>2297</v>
      </c>
      <c r="I1139" s="575" t="s">
        <v>1594</v>
      </c>
      <c r="J1139" s="548" t="s">
        <v>2132</v>
      </c>
      <c r="K1139" s="580">
        <v>51691.29</v>
      </c>
      <c r="L1139" s="580">
        <v>55.843200000000003</v>
      </c>
      <c r="M1139" s="552">
        <f t="shared" si="92"/>
        <v>925.65057160048127</v>
      </c>
      <c r="N1139" s="526">
        <v>60</v>
      </c>
      <c r="O1139" s="563">
        <f t="shared" si="89"/>
        <v>861.52150000000006</v>
      </c>
      <c r="P1139" s="564">
        <f t="shared" ca="1" si="90"/>
        <v>31</v>
      </c>
      <c r="Q1139" s="552">
        <f t="shared" ca="1" si="88"/>
        <v>24984.123499999998</v>
      </c>
      <c r="R1139" s="563">
        <f t="shared" ca="1" si="91"/>
        <v>24984.123499999998</v>
      </c>
      <c r="S1139" s="565" t="s">
        <v>61</v>
      </c>
    </row>
    <row r="1140" spans="2:19" ht="50.1" customHeight="1" x14ac:dyDescent="0.25">
      <c r="B1140" s="861">
        <v>44921</v>
      </c>
      <c r="C1140" s="583" t="s">
        <v>2349</v>
      </c>
      <c r="D1140" s="583"/>
      <c r="E1140" s="548" t="s">
        <v>2122</v>
      </c>
      <c r="F1140" s="585" t="s">
        <v>2298</v>
      </c>
      <c r="G1140" s="549" t="s">
        <v>2273</v>
      </c>
      <c r="H1140" s="584" t="s">
        <v>2299</v>
      </c>
      <c r="I1140" s="575" t="s">
        <v>1594</v>
      </c>
      <c r="J1140" s="548" t="s">
        <v>2132</v>
      </c>
      <c r="K1140" s="580">
        <v>51691.29</v>
      </c>
      <c r="L1140" s="580">
        <v>55.843200000000003</v>
      </c>
      <c r="M1140" s="552">
        <f t="shared" si="92"/>
        <v>925.65057160048127</v>
      </c>
      <c r="N1140" s="526">
        <v>60</v>
      </c>
      <c r="O1140" s="563">
        <f t="shared" si="89"/>
        <v>861.52150000000006</v>
      </c>
      <c r="P1140" s="564">
        <f t="shared" ca="1" si="90"/>
        <v>31</v>
      </c>
      <c r="Q1140" s="552">
        <f t="shared" ca="1" si="88"/>
        <v>24984.123499999998</v>
      </c>
      <c r="R1140" s="563">
        <f t="shared" ca="1" si="91"/>
        <v>24984.123499999998</v>
      </c>
      <c r="S1140" s="565" t="s">
        <v>61</v>
      </c>
    </row>
    <row r="1141" spans="2:19" ht="50.1" customHeight="1" x14ac:dyDescent="0.25">
      <c r="B1141" s="861">
        <v>44921</v>
      </c>
      <c r="C1141" s="583" t="s">
        <v>2349</v>
      </c>
      <c r="D1141" s="583"/>
      <c r="E1141" s="548" t="s">
        <v>2122</v>
      </c>
      <c r="F1141" s="585" t="s">
        <v>2300</v>
      </c>
      <c r="G1141" s="549" t="s">
        <v>2273</v>
      </c>
      <c r="H1141" s="584" t="s">
        <v>2301</v>
      </c>
      <c r="I1141" s="575" t="s">
        <v>1594</v>
      </c>
      <c r="J1141" s="548" t="s">
        <v>2132</v>
      </c>
      <c r="K1141" s="580">
        <v>51691.29</v>
      </c>
      <c r="L1141" s="580">
        <v>55.843200000000003</v>
      </c>
      <c r="M1141" s="552">
        <f t="shared" si="92"/>
        <v>925.65057160048127</v>
      </c>
      <c r="N1141" s="526">
        <v>60</v>
      </c>
      <c r="O1141" s="563">
        <f t="shared" si="89"/>
        <v>861.52150000000006</v>
      </c>
      <c r="P1141" s="564">
        <f t="shared" ca="1" si="90"/>
        <v>31</v>
      </c>
      <c r="Q1141" s="552">
        <f t="shared" ca="1" si="88"/>
        <v>24984.123499999998</v>
      </c>
      <c r="R1141" s="563">
        <f t="shared" ca="1" si="91"/>
        <v>24984.123499999998</v>
      </c>
      <c r="S1141" s="565" t="s">
        <v>61</v>
      </c>
    </row>
    <row r="1142" spans="2:19" ht="50.1" customHeight="1" x14ac:dyDescent="0.25">
      <c r="B1142" s="861">
        <v>44921</v>
      </c>
      <c r="C1142" s="583" t="s">
        <v>2349</v>
      </c>
      <c r="D1142" s="583"/>
      <c r="E1142" s="548" t="s">
        <v>2122</v>
      </c>
      <c r="F1142" s="585" t="s">
        <v>2302</v>
      </c>
      <c r="G1142" s="549" t="s">
        <v>2273</v>
      </c>
      <c r="H1142" s="584" t="s">
        <v>2303</v>
      </c>
      <c r="I1142" s="575" t="s">
        <v>1594</v>
      </c>
      <c r="J1142" s="548" t="s">
        <v>2132</v>
      </c>
      <c r="K1142" s="580">
        <v>51691.29</v>
      </c>
      <c r="L1142" s="580">
        <v>55.843200000000003</v>
      </c>
      <c r="M1142" s="552">
        <f t="shared" si="92"/>
        <v>925.65057160048127</v>
      </c>
      <c r="N1142" s="526">
        <v>60</v>
      </c>
      <c r="O1142" s="563">
        <f t="shared" si="89"/>
        <v>861.52150000000006</v>
      </c>
      <c r="P1142" s="564">
        <f t="shared" ca="1" si="90"/>
        <v>31</v>
      </c>
      <c r="Q1142" s="552">
        <f t="shared" ca="1" si="88"/>
        <v>24984.123499999998</v>
      </c>
      <c r="R1142" s="563">
        <f t="shared" ca="1" si="91"/>
        <v>24984.123499999998</v>
      </c>
      <c r="S1142" s="565" t="s">
        <v>61</v>
      </c>
    </row>
    <row r="1143" spans="2:19" ht="50.1" customHeight="1" x14ac:dyDescent="0.25">
      <c r="B1143" s="861">
        <v>44921</v>
      </c>
      <c r="C1143" s="583" t="s">
        <v>2349</v>
      </c>
      <c r="D1143" s="583"/>
      <c r="E1143" s="548" t="s">
        <v>2122</v>
      </c>
      <c r="F1143" s="585" t="s">
        <v>2304</v>
      </c>
      <c r="G1143" s="549" t="s">
        <v>2273</v>
      </c>
      <c r="H1143" s="584" t="s">
        <v>2305</v>
      </c>
      <c r="I1143" s="575" t="s">
        <v>1594</v>
      </c>
      <c r="J1143" s="548" t="s">
        <v>2132</v>
      </c>
      <c r="K1143" s="580">
        <v>51691.29</v>
      </c>
      <c r="L1143" s="580">
        <v>55.843200000000003</v>
      </c>
      <c r="M1143" s="552">
        <f t="shared" si="92"/>
        <v>925.65057160048127</v>
      </c>
      <c r="N1143" s="526">
        <v>60</v>
      </c>
      <c r="O1143" s="563">
        <f t="shared" si="89"/>
        <v>861.52150000000006</v>
      </c>
      <c r="P1143" s="564">
        <f t="shared" ca="1" si="90"/>
        <v>31</v>
      </c>
      <c r="Q1143" s="552">
        <f t="shared" ca="1" si="88"/>
        <v>24984.123499999998</v>
      </c>
      <c r="R1143" s="563">
        <f t="shared" ca="1" si="91"/>
        <v>24984.123499999998</v>
      </c>
      <c r="S1143" s="565" t="s">
        <v>61</v>
      </c>
    </row>
    <row r="1144" spans="2:19" ht="50.1" customHeight="1" x14ac:dyDescent="0.25">
      <c r="B1144" s="861">
        <v>44921</v>
      </c>
      <c r="C1144" s="583" t="s">
        <v>2349</v>
      </c>
      <c r="D1144" s="583"/>
      <c r="E1144" s="548" t="s">
        <v>2122</v>
      </c>
      <c r="F1144" s="585" t="s">
        <v>2306</v>
      </c>
      <c r="G1144" s="549" t="s">
        <v>2273</v>
      </c>
      <c r="H1144" s="584" t="s">
        <v>2307</v>
      </c>
      <c r="I1144" s="575" t="s">
        <v>1594</v>
      </c>
      <c r="J1144" s="548" t="s">
        <v>2132</v>
      </c>
      <c r="K1144" s="580">
        <v>51691.29</v>
      </c>
      <c r="L1144" s="580">
        <v>55.843200000000003</v>
      </c>
      <c r="M1144" s="552">
        <f t="shared" si="92"/>
        <v>925.65057160048127</v>
      </c>
      <c r="N1144" s="526">
        <v>60</v>
      </c>
      <c r="O1144" s="563">
        <f t="shared" si="89"/>
        <v>861.52150000000006</v>
      </c>
      <c r="P1144" s="564">
        <f t="shared" ca="1" si="90"/>
        <v>31</v>
      </c>
      <c r="Q1144" s="552">
        <f t="shared" ca="1" si="88"/>
        <v>24984.123499999998</v>
      </c>
      <c r="R1144" s="563">
        <f t="shared" ca="1" si="91"/>
        <v>24984.123499999998</v>
      </c>
      <c r="S1144" s="565" t="s">
        <v>61</v>
      </c>
    </row>
    <row r="1145" spans="2:19" ht="50.1" customHeight="1" x14ac:dyDescent="0.25">
      <c r="B1145" s="861">
        <v>44921</v>
      </c>
      <c r="C1145" s="583" t="s">
        <v>2349</v>
      </c>
      <c r="D1145" s="583"/>
      <c r="E1145" s="548" t="s">
        <v>2122</v>
      </c>
      <c r="F1145" s="585" t="s">
        <v>2308</v>
      </c>
      <c r="G1145" s="549" t="s">
        <v>2273</v>
      </c>
      <c r="H1145" s="584" t="s">
        <v>2309</v>
      </c>
      <c r="I1145" s="575" t="s">
        <v>1594</v>
      </c>
      <c r="J1145" s="548" t="s">
        <v>2132</v>
      </c>
      <c r="K1145" s="580">
        <v>51691.29</v>
      </c>
      <c r="L1145" s="580">
        <v>55.843200000000003</v>
      </c>
      <c r="M1145" s="552">
        <f t="shared" si="92"/>
        <v>925.65057160048127</v>
      </c>
      <c r="N1145" s="526">
        <v>60</v>
      </c>
      <c r="O1145" s="563">
        <f t="shared" si="89"/>
        <v>861.52150000000006</v>
      </c>
      <c r="P1145" s="564">
        <f t="shared" ca="1" si="90"/>
        <v>31</v>
      </c>
      <c r="Q1145" s="552">
        <f t="shared" ca="1" si="88"/>
        <v>24984.123499999998</v>
      </c>
      <c r="R1145" s="563">
        <f t="shared" ca="1" si="91"/>
        <v>24984.123499999998</v>
      </c>
      <c r="S1145" s="565" t="s">
        <v>61</v>
      </c>
    </row>
    <row r="1146" spans="2:19" ht="50.1" customHeight="1" x14ac:dyDescent="0.25">
      <c r="B1146" s="861">
        <v>44921</v>
      </c>
      <c r="C1146" s="583" t="s">
        <v>2349</v>
      </c>
      <c r="D1146" s="583"/>
      <c r="E1146" s="548" t="s">
        <v>2122</v>
      </c>
      <c r="F1146" s="585" t="s">
        <v>2310</v>
      </c>
      <c r="G1146" s="549" t="s">
        <v>2273</v>
      </c>
      <c r="H1146" s="584" t="s">
        <v>2311</v>
      </c>
      <c r="I1146" s="575" t="s">
        <v>1594</v>
      </c>
      <c r="J1146" s="548" t="s">
        <v>2132</v>
      </c>
      <c r="K1146" s="580">
        <v>51691.29</v>
      </c>
      <c r="L1146" s="580">
        <v>55.843200000000003</v>
      </c>
      <c r="M1146" s="552">
        <f t="shared" si="92"/>
        <v>925.65057160048127</v>
      </c>
      <c r="N1146" s="526">
        <v>60</v>
      </c>
      <c r="O1146" s="563">
        <f t="shared" si="89"/>
        <v>861.52150000000006</v>
      </c>
      <c r="P1146" s="564">
        <f t="shared" ca="1" si="90"/>
        <v>31</v>
      </c>
      <c r="Q1146" s="552">
        <f t="shared" ca="1" si="88"/>
        <v>24984.123499999998</v>
      </c>
      <c r="R1146" s="563">
        <f t="shared" ca="1" si="91"/>
        <v>24984.123499999998</v>
      </c>
      <c r="S1146" s="565" t="s">
        <v>61</v>
      </c>
    </row>
    <row r="1147" spans="2:19" ht="50.1" customHeight="1" x14ac:dyDescent="0.25">
      <c r="B1147" s="861">
        <v>44921</v>
      </c>
      <c r="C1147" s="583" t="s">
        <v>2349</v>
      </c>
      <c r="D1147" s="583"/>
      <c r="E1147" s="548" t="s">
        <v>2122</v>
      </c>
      <c r="F1147" s="585" t="s">
        <v>2312</v>
      </c>
      <c r="G1147" s="549" t="s">
        <v>2273</v>
      </c>
      <c r="H1147" s="584" t="s">
        <v>2313</v>
      </c>
      <c r="I1147" s="575" t="s">
        <v>1594</v>
      </c>
      <c r="J1147" s="548" t="s">
        <v>2132</v>
      </c>
      <c r="K1147" s="580">
        <v>51691.29</v>
      </c>
      <c r="L1147" s="580">
        <v>55.843200000000003</v>
      </c>
      <c r="M1147" s="552">
        <f t="shared" si="92"/>
        <v>925.65057160048127</v>
      </c>
      <c r="N1147" s="526">
        <v>60</v>
      </c>
      <c r="O1147" s="563">
        <f t="shared" si="89"/>
        <v>861.52150000000006</v>
      </c>
      <c r="P1147" s="564">
        <f t="shared" ca="1" si="90"/>
        <v>31</v>
      </c>
      <c r="Q1147" s="552">
        <f t="shared" ca="1" si="88"/>
        <v>24984.123499999998</v>
      </c>
      <c r="R1147" s="563">
        <f t="shared" ca="1" si="91"/>
        <v>24984.123499999998</v>
      </c>
      <c r="S1147" s="565" t="s">
        <v>61</v>
      </c>
    </row>
    <row r="1148" spans="2:19" ht="50.1" customHeight="1" x14ac:dyDescent="0.25">
      <c r="B1148" s="861">
        <v>44921</v>
      </c>
      <c r="C1148" s="583" t="s">
        <v>2349</v>
      </c>
      <c r="D1148" s="583"/>
      <c r="E1148" s="548" t="s">
        <v>2122</v>
      </c>
      <c r="F1148" s="585" t="s">
        <v>2314</v>
      </c>
      <c r="G1148" s="549" t="s">
        <v>2273</v>
      </c>
      <c r="H1148" s="584" t="s">
        <v>2315</v>
      </c>
      <c r="I1148" s="575" t="s">
        <v>394</v>
      </c>
      <c r="J1148" s="548" t="s">
        <v>4382</v>
      </c>
      <c r="K1148" s="580">
        <v>51691.29</v>
      </c>
      <c r="L1148" s="580">
        <v>55.843200000000003</v>
      </c>
      <c r="M1148" s="552">
        <f t="shared" si="92"/>
        <v>925.65057160048127</v>
      </c>
      <c r="N1148" s="526">
        <v>60</v>
      </c>
      <c r="O1148" s="563">
        <f t="shared" si="89"/>
        <v>861.52150000000006</v>
      </c>
      <c r="P1148" s="564">
        <f t="shared" ca="1" si="90"/>
        <v>31</v>
      </c>
      <c r="Q1148" s="552">
        <f t="shared" ca="1" si="88"/>
        <v>24984.123499999998</v>
      </c>
      <c r="R1148" s="563">
        <f t="shared" ca="1" si="91"/>
        <v>24984.123499999998</v>
      </c>
      <c r="S1148" s="565" t="s">
        <v>61</v>
      </c>
    </row>
    <row r="1149" spans="2:19" ht="50.1" customHeight="1" x14ac:dyDescent="0.25">
      <c r="B1149" s="861">
        <v>44921</v>
      </c>
      <c r="C1149" s="583" t="s">
        <v>2349</v>
      </c>
      <c r="D1149" s="583"/>
      <c r="E1149" s="548" t="s">
        <v>2122</v>
      </c>
      <c r="F1149" s="585" t="s">
        <v>2316</v>
      </c>
      <c r="G1149" s="549" t="s">
        <v>2273</v>
      </c>
      <c r="H1149" s="584" t="s">
        <v>2317</v>
      </c>
      <c r="I1149" s="575" t="s">
        <v>1594</v>
      </c>
      <c r="J1149" s="548" t="s">
        <v>2132</v>
      </c>
      <c r="K1149" s="580">
        <v>51691.29</v>
      </c>
      <c r="L1149" s="580">
        <v>55.843200000000003</v>
      </c>
      <c r="M1149" s="552">
        <f t="shared" si="92"/>
        <v>925.65057160048127</v>
      </c>
      <c r="N1149" s="526">
        <v>60</v>
      </c>
      <c r="O1149" s="563">
        <f t="shared" si="89"/>
        <v>861.52150000000006</v>
      </c>
      <c r="P1149" s="564">
        <f t="shared" ca="1" si="90"/>
        <v>31</v>
      </c>
      <c r="Q1149" s="552">
        <f t="shared" ca="1" si="88"/>
        <v>24984.123499999998</v>
      </c>
      <c r="R1149" s="563">
        <f t="shared" ca="1" si="91"/>
        <v>24984.123499999998</v>
      </c>
      <c r="S1149" s="565" t="s">
        <v>61</v>
      </c>
    </row>
    <row r="1150" spans="2:19" ht="50.1" customHeight="1" x14ac:dyDescent="0.25">
      <c r="B1150" s="861">
        <v>44921</v>
      </c>
      <c r="C1150" s="583" t="s">
        <v>2349</v>
      </c>
      <c r="D1150" s="583"/>
      <c r="E1150" s="548" t="s">
        <v>2122</v>
      </c>
      <c r="F1150" s="585" t="s">
        <v>2318</v>
      </c>
      <c r="G1150" s="549" t="s">
        <v>2273</v>
      </c>
      <c r="H1150" s="584" t="s">
        <v>2319</v>
      </c>
      <c r="I1150" s="575" t="s">
        <v>1594</v>
      </c>
      <c r="J1150" s="548" t="s">
        <v>2132</v>
      </c>
      <c r="K1150" s="580">
        <v>51691.29</v>
      </c>
      <c r="L1150" s="580">
        <v>55.843200000000003</v>
      </c>
      <c r="M1150" s="552">
        <f t="shared" si="92"/>
        <v>925.65057160048127</v>
      </c>
      <c r="N1150" s="526">
        <v>60</v>
      </c>
      <c r="O1150" s="563">
        <f t="shared" si="89"/>
        <v>861.52150000000006</v>
      </c>
      <c r="P1150" s="564">
        <f t="shared" ca="1" si="90"/>
        <v>31</v>
      </c>
      <c r="Q1150" s="552">
        <f t="shared" ca="1" si="88"/>
        <v>24984.123499999998</v>
      </c>
      <c r="R1150" s="563">
        <f t="shared" ca="1" si="91"/>
        <v>24984.123499999998</v>
      </c>
      <c r="S1150" s="565" t="s">
        <v>61</v>
      </c>
    </row>
    <row r="1151" spans="2:19" ht="50.1" customHeight="1" x14ac:dyDescent="0.25">
      <c r="B1151" s="861">
        <v>44921</v>
      </c>
      <c r="C1151" s="583" t="s">
        <v>2349</v>
      </c>
      <c r="D1151" s="583"/>
      <c r="E1151" s="548" t="s">
        <v>2122</v>
      </c>
      <c r="F1151" s="585" t="s">
        <v>2320</v>
      </c>
      <c r="G1151" s="549" t="s">
        <v>2273</v>
      </c>
      <c r="H1151" s="584" t="s">
        <v>2321</v>
      </c>
      <c r="I1151" s="575" t="s">
        <v>1594</v>
      </c>
      <c r="J1151" s="548" t="s">
        <v>2132</v>
      </c>
      <c r="K1151" s="580">
        <v>51691.29</v>
      </c>
      <c r="L1151" s="580">
        <v>55.843200000000003</v>
      </c>
      <c r="M1151" s="552">
        <f t="shared" si="92"/>
        <v>925.65057160048127</v>
      </c>
      <c r="N1151" s="526">
        <v>60</v>
      </c>
      <c r="O1151" s="563">
        <f t="shared" si="89"/>
        <v>861.52150000000006</v>
      </c>
      <c r="P1151" s="564">
        <f t="shared" ca="1" si="90"/>
        <v>31</v>
      </c>
      <c r="Q1151" s="552">
        <f t="shared" ca="1" si="88"/>
        <v>24984.123499999998</v>
      </c>
      <c r="R1151" s="563">
        <f t="shared" ca="1" si="91"/>
        <v>24984.123499999998</v>
      </c>
      <c r="S1151" s="565" t="s">
        <v>61</v>
      </c>
    </row>
    <row r="1152" spans="2:19" ht="50.1" customHeight="1" x14ac:dyDescent="0.25">
      <c r="B1152" s="861">
        <v>44921</v>
      </c>
      <c r="C1152" s="583" t="s">
        <v>2349</v>
      </c>
      <c r="D1152" s="583"/>
      <c r="E1152" s="548" t="s">
        <v>2122</v>
      </c>
      <c r="F1152" s="585" t="s">
        <v>2322</v>
      </c>
      <c r="G1152" s="549" t="s">
        <v>2273</v>
      </c>
      <c r="H1152" s="584" t="s">
        <v>2323</v>
      </c>
      <c r="I1152" s="575" t="s">
        <v>1594</v>
      </c>
      <c r="J1152" s="548" t="s">
        <v>2132</v>
      </c>
      <c r="K1152" s="580">
        <v>51691.29</v>
      </c>
      <c r="L1152" s="580">
        <v>55.843200000000003</v>
      </c>
      <c r="M1152" s="552">
        <f t="shared" si="92"/>
        <v>925.65057160048127</v>
      </c>
      <c r="N1152" s="526">
        <v>60</v>
      </c>
      <c r="O1152" s="563">
        <f t="shared" si="89"/>
        <v>861.52150000000006</v>
      </c>
      <c r="P1152" s="564">
        <f t="shared" ca="1" si="90"/>
        <v>31</v>
      </c>
      <c r="Q1152" s="552">
        <f t="shared" ca="1" si="88"/>
        <v>24984.123499999998</v>
      </c>
      <c r="R1152" s="563">
        <f t="shared" ca="1" si="91"/>
        <v>24984.123499999998</v>
      </c>
      <c r="S1152" s="565" t="s">
        <v>61</v>
      </c>
    </row>
    <row r="1153" spans="2:19" ht="50.1" customHeight="1" x14ac:dyDescent="0.25">
      <c r="B1153" s="861">
        <v>44921</v>
      </c>
      <c r="C1153" s="583" t="s">
        <v>2349</v>
      </c>
      <c r="D1153" s="583"/>
      <c r="E1153" s="548" t="s">
        <v>2122</v>
      </c>
      <c r="F1153" s="585" t="s">
        <v>2324</v>
      </c>
      <c r="G1153" s="549" t="s">
        <v>2273</v>
      </c>
      <c r="H1153" s="584" t="s">
        <v>2325</v>
      </c>
      <c r="I1153" s="575" t="s">
        <v>1594</v>
      </c>
      <c r="J1153" s="548" t="s">
        <v>2132</v>
      </c>
      <c r="K1153" s="580">
        <v>51691.29</v>
      </c>
      <c r="L1153" s="580">
        <v>55.843200000000003</v>
      </c>
      <c r="M1153" s="552">
        <f t="shared" si="92"/>
        <v>925.65057160048127</v>
      </c>
      <c r="N1153" s="526">
        <v>60</v>
      </c>
      <c r="O1153" s="563">
        <f t="shared" si="89"/>
        <v>861.52150000000006</v>
      </c>
      <c r="P1153" s="564">
        <f t="shared" ca="1" si="90"/>
        <v>31</v>
      </c>
      <c r="Q1153" s="552">
        <f t="shared" ca="1" si="88"/>
        <v>24984.123499999998</v>
      </c>
      <c r="R1153" s="563">
        <f t="shared" ca="1" si="91"/>
        <v>24984.123499999998</v>
      </c>
      <c r="S1153" s="565" t="s">
        <v>61</v>
      </c>
    </row>
    <row r="1154" spans="2:19" ht="50.1" customHeight="1" x14ac:dyDescent="0.25">
      <c r="B1154" s="861">
        <v>44921</v>
      </c>
      <c r="C1154" s="583" t="s">
        <v>2349</v>
      </c>
      <c r="D1154" s="583"/>
      <c r="E1154" s="548" t="s">
        <v>2122</v>
      </c>
      <c r="F1154" s="585" t="s">
        <v>2326</v>
      </c>
      <c r="G1154" s="549" t="s">
        <v>2273</v>
      </c>
      <c r="H1154" s="584" t="s">
        <v>2327</v>
      </c>
      <c r="I1154" s="575" t="s">
        <v>1594</v>
      </c>
      <c r="J1154" s="548" t="s">
        <v>2132</v>
      </c>
      <c r="K1154" s="580">
        <v>51691.29</v>
      </c>
      <c r="L1154" s="580">
        <v>55.843200000000003</v>
      </c>
      <c r="M1154" s="552">
        <f t="shared" si="92"/>
        <v>925.65057160048127</v>
      </c>
      <c r="N1154" s="526">
        <v>60</v>
      </c>
      <c r="O1154" s="563">
        <f t="shared" si="89"/>
        <v>861.52150000000006</v>
      </c>
      <c r="P1154" s="564">
        <f t="shared" ca="1" si="90"/>
        <v>31</v>
      </c>
      <c r="Q1154" s="552">
        <f t="shared" ref="Q1154:Q1217" ca="1" si="93">IF(OR(K1154=0,N1154=0,P1154=0),0,K1154-(O1154*P1154))</f>
        <v>24984.123499999998</v>
      </c>
      <c r="R1154" s="563">
        <f t="shared" ca="1" si="91"/>
        <v>24984.123499999998</v>
      </c>
      <c r="S1154" s="565" t="s">
        <v>61</v>
      </c>
    </row>
    <row r="1155" spans="2:19" ht="50.1" customHeight="1" x14ac:dyDescent="0.25">
      <c r="B1155" s="861">
        <v>44921</v>
      </c>
      <c r="C1155" s="583" t="s">
        <v>2349</v>
      </c>
      <c r="D1155" s="583"/>
      <c r="E1155" s="548" t="s">
        <v>2122</v>
      </c>
      <c r="F1155" s="585" t="s">
        <v>2328</v>
      </c>
      <c r="G1155" s="549" t="s">
        <v>2273</v>
      </c>
      <c r="H1155" s="584" t="s">
        <v>2329</v>
      </c>
      <c r="I1155" s="575" t="s">
        <v>1594</v>
      </c>
      <c r="J1155" s="548" t="s">
        <v>2132</v>
      </c>
      <c r="K1155" s="580">
        <v>51691.29</v>
      </c>
      <c r="L1155" s="580">
        <v>55.843200000000003</v>
      </c>
      <c r="M1155" s="552">
        <f t="shared" si="92"/>
        <v>925.65057160048127</v>
      </c>
      <c r="N1155" s="526">
        <v>60</v>
      </c>
      <c r="O1155" s="563">
        <f t="shared" si="89"/>
        <v>861.52150000000006</v>
      </c>
      <c r="P1155" s="564">
        <f t="shared" ca="1" si="90"/>
        <v>31</v>
      </c>
      <c r="Q1155" s="552">
        <f t="shared" ca="1" si="93"/>
        <v>24984.123499999998</v>
      </c>
      <c r="R1155" s="563">
        <f t="shared" ca="1" si="91"/>
        <v>24984.123499999998</v>
      </c>
      <c r="S1155" s="565" t="s">
        <v>61</v>
      </c>
    </row>
    <row r="1156" spans="2:19" ht="63.75" customHeight="1" x14ac:dyDescent="0.25">
      <c r="B1156" s="861">
        <v>44921</v>
      </c>
      <c r="C1156" s="583" t="s">
        <v>2349</v>
      </c>
      <c r="D1156" s="583"/>
      <c r="E1156" s="548" t="s">
        <v>2122</v>
      </c>
      <c r="F1156" s="585" t="s">
        <v>2330</v>
      </c>
      <c r="G1156" s="549" t="s">
        <v>2273</v>
      </c>
      <c r="H1156" s="584" t="s">
        <v>2331</v>
      </c>
      <c r="I1156" s="575" t="s">
        <v>1594</v>
      </c>
      <c r="J1156" s="548" t="s">
        <v>2132</v>
      </c>
      <c r="K1156" s="580">
        <v>51691.29</v>
      </c>
      <c r="L1156" s="580">
        <v>55.843200000000003</v>
      </c>
      <c r="M1156" s="552">
        <f t="shared" si="92"/>
        <v>925.65057160048127</v>
      </c>
      <c r="N1156" s="526">
        <v>60</v>
      </c>
      <c r="O1156" s="563">
        <f t="shared" si="89"/>
        <v>861.52150000000006</v>
      </c>
      <c r="P1156" s="564">
        <f t="shared" ca="1" si="90"/>
        <v>31</v>
      </c>
      <c r="Q1156" s="552">
        <f t="shared" ca="1" si="93"/>
        <v>24984.123499999998</v>
      </c>
      <c r="R1156" s="563">
        <f t="shared" ca="1" si="91"/>
        <v>24984.123499999998</v>
      </c>
      <c r="S1156" s="565" t="s">
        <v>61</v>
      </c>
    </row>
    <row r="1157" spans="2:19" ht="50.1" customHeight="1" x14ac:dyDescent="0.25">
      <c r="B1157" s="861">
        <v>44945</v>
      </c>
      <c r="C1157" s="583">
        <v>45111</v>
      </c>
      <c r="D1157" s="583"/>
      <c r="E1157" s="548" t="s">
        <v>4322</v>
      </c>
      <c r="F1157" s="513" t="s">
        <v>4188</v>
      </c>
      <c r="G1157" s="549" t="s">
        <v>4326</v>
      </c>
      <c r="H1157" s="584" t="s">
        <v>4327</v>
      </c>
      <c r="I1157" s="548" t="s">
        <v>4249</v>
      </c>
      <c r="J1157" s="548" t="s">
        <v>19</v>
      </c>
      <c r="K1157" s="580">
        <v>77273.48</v>
      </c>
      <c r="L1157" s="580">
        <v>56.4557</v>
      </c>
      <c r="M1157" s="552">
        <f t="shared" si="92"/>
        <v>1368.7454056897709</v>
      </c>
      <c r="N1157" s="526">
        <v>60</v>
      </c>
      <c r="O1157" s="563">
        <f t="shared" si="89"/>
        <v>1287.8913333333333</v>
      </c>
      <c r="P1157" s="564">
        <f t="shared" ca="1" si="90"/>
        <v>30</v>
      </c>
      <c r="Q1157" s="552">
        <f t="shared" ca="1" si="93"/>
        <v>38636.74</v>
      </c>
      <c r="R1157" s="563">
        <f t="shared" ca="1" si="91"/>
        <v>38636.74</v>
      </c>
      <c r="S1157" s="565" t="s">
        <v>4325</v>
      </c>
    </row>
    <row r="1158" spans="2:19" ht="50.1" customHeight="1" x14ac:dyDescent="0.25">
      <c r="B1158" s="861">
        <v>44945</v>
      </c>
      <c r="C1158" s="583">
        <v>45111</v>
      </c>
      <c r="D1158" s="583"/>
      <c r="E1158" s="548" t="s">
        <v>4322</v>
      </c>
      <c r="F1158" s="513" t="s">
        <v>4187</v>
      </c>
      <c r="G1158" s="549" t="s">
        <v>4323</v>
      </c>
      <c r="H1158" s="584" t="s">
        <v>4324</v>
      </c>
      <c r="I1158" s="548" t="s">
        <v>4249</v>
      </c>
      <c r="J1158" s="548" t="s">
        <v>19</v>
      </c>
      <c r="K1158" s="580">
        <v>368663.86</v>
      </c>
      <c r="L1158" s="580">
        <v>56.4557</v>
      </c>
      <c r="M1158" s="552">
        <f t="shared" si="92"/>
        <v>6530.1441661338004</v>
      </c>
      <c r="N1158" s="526">
        <v>60</v>
      </c>
      <c r="O1158" s="563">
        <f t="shared" si="89"/>
        <v>6144.3976666666667</v>
      </c>
      <c r="P1158" s="564">
        <f t="shared" ca="1" si="90"/>
        <v>30</v>
      </c>
      <c r="Q1158" s="552">
        <f t="shared" ca="1" si="93"/>
        <v>184331.93</v>
      </c>
      <c r="R1158" s="563">
        <f t="shared" ca="1" si="91"/>
        <v>184331.93</v>
      </c>
      <c r="S1158" s="565" t="s">
        <v>4325</v>
      </c>
    </row>
    <row r="1159" spans="2:19" ht="50.1" customHeight="1" x14ac:dyDescent="0.25">
      <c r="B1159" s="861">
        <v>44950</v>
      </c>
      <c r="C1159" s="583">
        <v>45054</v>
      </c>
      <c r="D1159" s="583"/>
      <c r="E1159" s="513" t="s">
        <v>4084</v>
      </c>
      <c r="F1159" s="540" t="s">
        <v>4211</v>
      </c>
      <c r="G1159" s="513" t="s">
        <v>4101</v>
      </c>
      <c r="H1159" s="584" t="s">
        <v>18</v>
      </c>
      <c r="I1159" s="515" t="s">
        <v>1443</v>
      </c>
      <c r="J1159" s="513" t="s">
        <v>4081</v>
      </c>
      <c r="K1159" s="516">
        <v>98000.18</v>
      </c>
      <c r="L1159" s="580">
        <v>56.457999999999998</v>
      </c>
      <c r="M1159" s="586">
        <f t="shared" si="92"/>
        <v>1735.8067944312586</v>
      </c>
      <c r="N1159" s="587">
        <v>60</v>
      </c>
      <c r="O1159" s="563">
        <f t="shared" si="89"/>
        <v>1633.3363333333332</v>
      </c>
      <c r="P1159" s="544">
        <f t="shared" ca="1" si="90"/>
        <v>30</v>
      </c>
      <c r="Q1159" s="552">
        <f t="shared" ca="1" si="93"/>
        <v>49000.09</v>
      </c>
      <c r="R1159" s="563">
        <f t="shared" ca="1" si="91"/>
        <v>49000.09</v>
      </c>
      <c r="S1159" s="513" t="s">
        <v>4212</v>
      </c>
    </row>
    <row r="1160" spans="2:19" ht="50.1" customHeight="1" x14ac:dyDescent="0.25">
      <c r="B1160" s="861">
        <v>44950</v>
      </c>
      <c r="C1160" s="583">
        <v>45054</v>
      </c>
      <c r="D1160" s="583"/>
      <c r="E1160" s="513" t="s">
        <v>4084</v>
      </c>
      <c r="F1160" s="540" t="s">
        <v>4213</v>
      </c>
      <c r="G1160" s="513" t="s">
        <v>4101</v>
      </c>
      <c r="H1160" s="584" t="s">
        <v>18</v>
      </c>
      <c r="I1160" s="515" t="s">
        <v>4079</v>
      </c>
      <c r="J1160" s="513" t="s">
        <v>4077</v>
      </c>
      <c r="K1160" s="516">
        <v>98000.19</v>
      </c>
      <c r="L1160" s="580">
        <v>56.457999999999998</v>
      </c>
      <c r="M1160" s="586">
        <f t="shared" si="92"/>
        <v>1735.8069715540757</v>
      </c>
      <c r="N1160" s="587">
        <v>60</v>
      </c>
      <c r="O1160" s="563">
        <f t="shared" ref="O1160:O1223" si="94">IF(AND(K1160&lt;&gt;0,N1160&lt;&gt;0),K1160/N1160,0)</f>
        <v>1633.3365000000001</v>
      </c>
      <c r="P1160" s="544">
        <f t="shared" ref="P1160:P1223" ca="1" si="95">IF(B1160&lt;&gt;0,(ROUND((NOW()-B1160)/30,0)),0)</f>
        <v>30</v>
      </c>
      <c r="Q1160" s="552">
        <f t="shared" ca="1" si="93"/>
        <v>49000.095000000001</v>
      </c>
      <c r="R1160" s="563">
        <f t="shared" ref="R1160:R1223" ca="1" si="96">IF(Q1160&lt;1,1,Q1160)</f>
        <v>49000.095000000001</v>
      </c>
      <c r="S1160" s="513" t="s">
        <v>4212</v>
      </c>
    </row>
    <row r="1161" spans="2:19" ht="50.1" customHeight="1" x14ac:dyDescent="0.25">
      <c r="B1161" s="861">
        <v>44950</v>
      </c>
      <c r="C1161" s="583">
        <v>45054</v>
      </c>
      <c r="D1161" s="583"/>
      <c r="E1161" s="513" t="s">
        <v>4084</v>
      </c>
      <c r="F1161" s="540" t="s">
        <v>4208</v>
      </c>
      <c r="G1161" s="513" t="s">
        <v>4100</v>
      </c>
      <c r="H1161" s="584" t="s">
        <v>18</v>
      </c>
      <c r="I1161" s="515" t="s">
        <v>1443</v>
      </c>
      <c r="J1161" s="513" t="s">
        <v>4081</v>
      </c>
      <c r="K1161" s="516">
        <v>72500</v>
      </c>
      <c r="L1161" s="580">
        <v>56.457999999999998</v>
      </c>
      <c r="M1161" s="586">
        <f t="shared" si="92"/>
        <v>1284.1404229692869</v>
      </c>
      <c r="N1161" s="587">
        <v>60</v>
      </c>
      <c r="O1161" s="563">
        <f t="shared" si="94"/>
        <v>1208.3333333333333</v>
      </c>
      <c r="P1161" s="544">
        <f t="shared" ca="1" si="95"/>
        <v>30</v>
      </c>
      <c r="Q1161" s="552">
        <f t="shared" ca="1" si="93"/>
        <v>36250</v>
      </c>
      <c r="R1161" s="563">
        <f t="shared" ca="1" si="96"/>
        <v>36250</v>
      </c>
      <c r="S1161" s="513" t="s">
        <v>4212</v>
      </c>
    </row>
    <row r="1162" spans="2:19" ht="50.1" customHeight="1" x14ac:dyDescent="0.25">
      <c r="B1162" s="861">
        <v>44950</v>
      </c>
      <c r="C1162" s="583">
        <v>45054</v>
      </c>
      <c r="D1162" s="583"/>
      <c r="E1162" s="513" t="s">
        <v>4084</v>
      </c>
      <c r="F1162" s="540" t="s">
        <v>4209</v>
      </c>
      <c r="G1162" s="513" t="s">
        <v>4100</v>
      </c>
      <c r="H1162" s="584" t="s">
        <v>18</v>
      </c>
      <c r="I1162" s="515" t="s">
        <v>4079</v>
      </c>
      <c r="J1162" s="513" t="s">
        <v>4077</v>
      </c>
      <c r="K1162" s="516">
        <v>72500</v>
      </c>
      <c r="L1162" s="580">
        <v>56.457999999999998</v>
      </c>
      <c r="M1162" s="586">
        <f t="shared" si="92"/>
        <v>1284.1404229692869</v>
      </c>
      <c r="N1162" s="587">
        <v>60</v>
      </c>
      <c r="O1162" s="563">
        <f t="shared" si="94"/>
        <v>1208.3333333333333</v>
      </c>
      <c r="P1162" s="544">
        <f t="shared" ca="1" si="95"/>
        <v>30</v>
      </c>
      <c r="Q1162" s="552">
        <f t="shared" ca="1" si="93"/>
        <v>36250</v>
      </c>
      <c r="R1162" s="563">
        <f t="shared" ca="1" si="96"/>
        <v>36250</v>
      </c>
      <c r="S1162" s="513" t="s">
        <v>4212</v>
      </c>
    </row>
    <row r="1163" spans="2:19" ht="50.1" customHeight="1" x14ac:dyDescent="0.25">
      <c r="B1163" s="861">
        <v>44950</v>
      </c>
      <c r="C1163" s="583">
        <v>45054</v>
      </c>
      <c r="D1163" s="583"/>
      <c r="E1163" s="513" t="s">
        <v>4084</v>
      </c>
      <c r="F1163" s="540" t="s">
        <v>4210</v>
      </c>
      <c r="G1163" s="513" t="s">
        <v>4100</v>
      </c>
      <c r="H1163" s="584" t="s">
        <v>18</v>
      </c>
      <c r="I1163" s="515" t="s">
        <v>4079</v>
      </c>
      <c r="J1163" s="513" t="s">
        <v>4078</v>
      </c>
      <c r="K1163" s="516">
        <v>72500</v>
      </c>
      <c r="L1163" s="580">
        <v>56.457999999999998</v>
      </c>
      <c r="M1163" s="586">
        <f t="shared" si="92"/>
        <v>1284.1404229692869</v>
      </c>
      <c r="N1163" s="587">
        <v>60</v>
      </c>
      <c r="O1163" s="563">
        <f t="shared" si="94"/>
        <v>1208.3333333333333</v>
      </c>
      <c r="P1163" s="544">
        <f t="shared" ca="1" si="95"/>
        <v>30</v>
      </c>
      <c r="Q1163" s="552">
        <f t="shared" ca="1" si="93"/>
        <v>36250</v>
      </c>
      <c r="R1163" s="563">
        <f t="shared" ca="1" si="96"/>
        <v>36250</v>
      </c>
      <c r="S1163" s="513" t="s">
        <v>4212</v>
      </c>
    </row>
    <row r="1164" spans="2:19" ht="50.1" customHeight="1" x14ac:dyDescent="0.25">
      <c r="B1164" s="861">
        <v>44950</v>
      </c>
      <c r="C1164" s="583">
        <v>45054</v>
      </c>
      <c r="D1164" s="583"/>
      <c r="E1164" s="513" t="s">
        <v>4084</v>
      </c>
      <c r="F1164" s="540" t="s">
        <v>4189</v>
      </c>
      <c r="G1164" s="513" t="s">
        <v>4099</v>
      </c>
      <c r="H1164" s="584" t="s">
        <v>18</v>
      </c>
      <c r="I1164" s="515" t="s">
        <v>4380</v>
      </c>
      <c r="J1164" s="513" t="s">
        <v>4080</v>
      </c>
      <c r="K1164" s="516">
        <v>36499.99</v>
      </c>
      <c r="L1164" s="580">
        <v>56.457999999999998</v>
      </c>
      <c r="M1164" s="586">
        <f t="shared" si="92"/>
        <v>646.49810478585846</v>
      </c>
      <c r="N1164" s="587">
        <v>60</v>
      </c>
      <c r="O1164" s="563">
        <f t="shared" si="94"/>
        <v>608.33316666666667</v>
      </c>
      <c r="P1164" s="544">
        <f t="shared" ca="1" si="95"/>
        <v>30</v>
      </c>
      <c r="Q1164" s="552">
        <f t="shared" ca="1" si="93"/>
        <v>18249.994999999999</v>
      </c>
      <c r="R1164" s="563">
        <f t="shared" ca="1" si="96"/>
        <v>18249.994999999999</v>
      </c>
      <c r="S1164" s="513" t="s">
        <v>4212</v>
      </c>
    </row>
    <row r="1165" spans="2:19" ht="50.1" customHeight="1" x14ac:dyDescent="0.25">
      <c r="B1165" s="861">
        <v>44950</v>
      </c>
      <c r="C1165" s="583">
        <v>45054</v>
      </c>
      <c r="D1165" s="583"/>
      <c r="E1165" s="513" t="s">
        <v>4084</v>
      </c>
      <c r="F1165" s="540" t="s">
        <v>4190</v>
      </c>
      <c r="G1165" s="513" t="s">
        <v>4099</v>
      </c>
      <c r="H1165" s="584" t="s">
        <v>18</v>
      </c>
      <c r="I1165" s="515" t="s">
        <v>4380</v>
      </c>
      <c r="J1165" s="513" t="s">
        <v>4080</v>
      </c>
      <c r="K1165" s="516">
        <v>36499.99</v>
      </c>
      <c r="L1165" s="580">
        <v>56.457999999999998</v>
      </c>
      <c r="M1165" s="586">
        <f t="shared" si="92"/>
        <v>646.49810478585846</v>
      </c>
      <c r="N1165" s="587">
        <v>60</v>
      </c>
      <c r="O1165" s="563">
        <f t="shared" si="94"/>
        <v>608.33316666666667</v>
      </c>
      <c r="P1165" s="544">
        <f t="shared" ca="1" si="95"/>
        <v>30</v>
      </c>
      <c r="Q1165" s="552">
        <f t="shared" ca="1" si="93"/>
        <v>18249.994999999999</v>
      </c>
      <c r="R1165" s="563">
        <f t="shared" ca="1" si="96"/>
        <v>18249.994999999999</v>
      </c>
      <c r="S1165" s="513" t="s">
        <v>4212</v>
      </c>
    </row>
    <row r="1166" spans="2:19" ht="50.1" customHeight="1" x14ac:dyDescent="0.25">
      <c r="B1166" s="861">
        <v>44950</v>
      </c>
      <c r="C1166" s="583">
        <v>45054</v>
      </c>
      <c r="D1166" s="583"/>
      <c r="E1166" s="513" t="s">
        <v>4084</v>
      </c>
      <c r="F1166" s="540" t="s">
        <v>4191</v>
      </c>
      <c r="G1166" s="513" t="s">
        <v>4099</v>
      </c>
      <c r="H1166" s="584" t="s">
        <v>18</v>
      </c>
      <c r="I1166" s="515" t="s">
        <v>1443</v>
      </c>
      <c r="J1166" s="513" t="s">
        <v>4383</v>
      </c>
      <c r="K1166" s="516">
        <v>36499.99</v>
      </c>
      <c r="L1166" s="580">
        <v>56.457999999999998</v>
      </c>
      <c r="M1166" s="586">
        <f t="shared" ref="M1166:M1229" si="97">+K1166/L1166</f>
        <v>646.49810478585846</v>
      </c>
      <c r="N1166" s="587">
        <v>60</v>
      </c>
      <c r="O1166" s="563">
        <f t="shared" si="94"/>
        <v>608.33316666666667</v>
      </c>
      <c r="P1166" s="544">
        <f t="shared" ca="1" si="95"/>
        <v>30</v>
      </c>
      <c r="Q1166" s="552">
        <f t="shared" ca="1" si="93"/>
        <v>18249.994999999999</v>
      </c>
      <c r="R1166" s="563">
        <f t="shared" ca="1" si="96"/>
        <v>18249.994999999999</v>
      </c>
      <c r="S1166" s="513" t="s">
        <v>4212</v>
      </c>
    </row>
    <row r="1167" spans="2:19" ht="50.1" customHeight="1" x14ac:dyDescent="0.25">
      <c r="B1167" s="861">
        <v>44950</v>
      </c>
      <c r="C1167" s="583">
        <v>45054</v>
      </c>
      <c r="D1167" s="583"/>
      <c r="E1167" s="513" t="s">
        <v>4084</v>
      </c>
      <c r="F1167" s="540" t="s">
        <v>4192</v>
      </c>
      <c r="G1167" s="513" t="s">
        <v>4099</v>
      </c>
      <c r="H1167" s="584" t="s">
        <v>18</v>
      </c>
      <c r="I1167" s="515" t="s">
        <v>1443</v>
      </c>
      <c r="J1167" s="513" t="s">
        <v>4081</v>
      </c>
      <c r="K1167" s="516">
        <v>36499.99</v>
      </c>
      <c r="L1167" s="580">
        <v>56.457999999999998</v>
      </c>
      <c r="M1167" s="586">
        <f t="shared" si="97"/>
        <v>646.49810478585846</v>
      </c>
      <c r="N1167" s="587">
        <v>60</v>
      </c>
      <c r="O1167" s="563">
        <f t="shared" si="94"/>
        <v>608.33316666666667</v>
      </c>
      <c r="P1167" s="544">
        <f t="shared" ca="1" si="95"/>
        <v>30</v>
      </c>
      <c r="Q1167" s="552">
        <f t="shared" ca="1" si="93"/>
        <v>18249.994999999999</v>
      </c>
      <c r="R1167" s="563">
        <f t="shared" ca="1" si="96"/>
        <v>18249.994999999999</v>
      </c>
      <c r="S1167" s="513" t="s">
        <v>4212</v>
      </c>
    </row>
    <row r="1168" spans="2:19" ht="50.1" customHeight="1" x14ac:dyDescent="0.25">
      <c r="B1168" s="861">
        <v>44950</v>
      </c>
      <c r="C1168" s="583">
        <v>45054</v>
      </c>
      <c r="D1168" s="583"/>
      <c r="E1168" s="513" t="s">
        <v>4084</v>
      </c>
      <c r="F1168" s="540" t="s">
        <v>4193</v>
      </c>
      <c r="G1168" s="513" t="s">
        <v>4099</v>
      </c>
      <c r="H1168" s="584" t="s">
        <v>18</v>
      </c>
      <c r="I1168" s="515" t="s">
        <v>1443</v>
      </c>
      <c r="J1168" s="513" t="s">
        <v>4081</v>
      </c>
      <c r="K1168" s="516">
        <v>36499.99</v>
      </c>
      <c r="L1168" s="580">
        <v>56.457999999999998</v>
      </c>
      <c r="M1168" s="586">
        <f t="shared" si="97"/>
        <v>646.49810478585846</v>
      </c>
      <c r="N1168" s="587">
        <v>60</v>
      </c>
      <c r="O1168" s="563">
        <f t="shared" si="94"/>
        <v>608.33316666666667</v>
      </c>
      <c r="P1168" s="544">
        <f t="shared" ca="1" si="95"/>
        <v>30</v>
      </c>
      <c r="Q1168" s="552">
        <f t="shared" ca="1" si="93"/>
        <v>18249.994999999999</v>
      </c>
      <c r="R1168" s="563">
        <f t="shared" ca="1" si="96"/>
        <v>18249.994999999999</v>
      </c>
      <c r="S1168" s="513" t="s">
        <v>4212</v>
      </c>
    </row>
    <row r="1169" spans="2:19" ht="50.1" customHeight="1" x14ac:dyDescent="0.25">
      <c r="B1169" s="861">
        <v>44950</v>
      </c>
      <c r="C1169" s="583">
        <v>45054</v>
      </c>
      <c r="D1169" s="583"/>
      <c r="E1169" s="513" t="s">
        <v>4084</v>
      </c>
      <c r="F1169" s="540" t="s">
        <v>4194</v>
      </c>
      <c r="G1169" s="513" t="s">
        <v>4099</v>
      </c>
      <c r="H1169" s="584" t="s">
        <v>18</v>
      </c>
      <c r="I1169" s="515" t="s">
        <v>1443</v>
      </c>
      <c r="J1169" s="513" t="s">
        <v>4081</v>
      </c>
      <c r="K1169" s="516">
        <v>36499.99</v>
      </c>
      <c r="L1169" s="580">
        <v>56.457999999999998</v>
      </c>
      <c r="M1169" s="586">
        <f t="shared" si="97"/>
        <v>646.49810478585846</v>
      </c>
      <c r="N1169" s="587">
        <v>60</v>
      </c>
      <c r="O1169" s="563">
        <f t="shared" si="94"/>
        <v>608.33316666666667</v>
      </c>
      <c r="P1169" s="544">
        <f t="shared" ca="1" si="95"/>
        <v>30</v>
      </c>
      <c r="Q1169" s="552">
        <f t="shared" ca="1" si="93"/>
        <v>18249.994999999999</v>
      </c>
      <c r="R1169" s="563">
        <f t="shared" ca="1" si="96"/>
        <v>18249.994999999999</v>
      </c>
      <c r="S1169" s="513" t="s">
        <v>4212</v>
      </c>
    </row>
    <row r="1170" spans="2:19" ht="50.1" customHeight="1" x14ac:dyDescent="0.25">
      <c r="B1170" s="861">
        <v>44950</v>
      </c>
      <c r="C1170" s="583">
        <v>45054</v>
      </c>
      <c r="D1170" s="583"/>
      <c r="E1170" s="513" t="s">
        <v>4084</v>
      </c>
      <c r="F1170" s="540" t="s">
        <v>4195</v>
      </c>
      <c r="G1170" s="513" t="s">
        <v>4099</v>
      </c>
      <c r="H1170" s="584" t="s">
        <v>18</v>
      </c>
      <c r="I1170" s="515" t="s">
        <v>1443</v>
      </c>
      <c r="J1170" s="513" t="s">
        <v>4081</v>
      </c>
      <c r="K1170" s="516">
        <v>36499.99</v>
      </c>
      <c r="L1170" s="580">
        <v>56.457999999999998</v>
      </c>
      <c r="M1170" s="586">
        <f t="shared" si="97"/>
        <v>646.49810478585846</v>
      </c>
      <c r="N1170" s="587">
        <v>60</v>
      </c>
      <c r="O1170" s="563">
        <f t="shared" si="94"/>
        <v>608.33316666666667</v>
      </c>
      <c r="P1170" s="544">
        <f t="shared" ca="1" si="95"/>
        <v>30</v>
      </c>
      <c r="Q1170" s="552">
        <f t="shared" ca="1" si="93"/>
        <v>18249.994999999999</v>
      </c>
      <c r="R1170" s="563">
        <f t="shared" ca="1" si="96"/>
        <v>18249.994999999999</v>
      </c>
      <c r="S1170" s="513" t="s">
        <v>4212</v>
      </c>
    </row>
    <row r="1171" spans="2:19" ht="50.1" customHeight="1" x14ac:dyDescent="0.25">
      <c r="B1171" s="861">
        <v>44950</v>
      </c>
      <c r="C1171" s="583">
        <v>45054</v>
      </c>
      <c r="D1171" s="583"/>
      <c r="E1171" s="513" t="s">
        <v>4084</v>
      </c>
      <c r="F1171" s="540" t="s">
        <v>4196</v>
      </c>
      <c r="G1171" s="513" t="s">
        <v>4099</v>
      </c>
      <c r="H1171" s="584" t="s">
        <v>18</v>
      </c>
      <c r="I1171" s="515" t="s">
        <v>1443</v>
      </c>
      <c r="J1171" s="513" t="s">
        <v>4081</v>
      </c>
      <c r="K1171" s="516">
        <v>36499.99</v>
      </c>
      <c r="L1171" s="580">
        <v>56.457999999999998</v>
      </c>
      <c r="M1171" s="586">
        <f t="shared" si="97"/>
        <v>646.49810478585846</v>
      </c>
      <c r="N1171" s="587">
        <v>60</v>
      </c>
      <c r="O1171" s="563">
        <f t="shared" si="94"/>
        <v>608.33316666666667</v>
      </c>
      <c r="P1171" s="544">
        <f t="shared" ca="1" si="95"/>
        <v>30</v>
      </c>
      <c r="Q1171" s="552">
        <f t="shared" ca="1" si="93"/>
        <v>18249.994999999999</v>
      </c>
      <c r="R1171" s="563">
        <f t="shared" ca="1" si="96"/>
        <v>18249.994999999999</v>
      </c>
      <c r="S1171" s="513" t="s">
        <v>4212</v>
      </c>
    </row>
    <row r="1172" spans="2:19" ht="50.1" customHeight="1" x14ac:dyDescent="0.25">
      <c r="B1172" s="861">
        <v>44950</v>
      </c>
      <c r="C1172" s="583">
        <v>45054</v>
      </c>
      <c r="D1172" s="583"/>
      <c r="E1172" s="513" t="s">
        <v>4084</v>
      </c>
      <c r="F1172" s="540" t="s">
        <v>4197</v>
      </c>
      <c r="G1172" s="513" t="s">
        <v>4099</v>
      </c>
      <c r="H1172" s="584" t="s">
        <v>18</v>
      </c>
      <c r="I1172" s="515" t="s">
        <v>1443</v>
      </c>
      <c r="J1172" s="513" t="s">
        <v>4081</v>
      </c>
      <c r="K1172" s="516">
        <v>36499.99</v>
      </c>
      <c r="L1172" s="580">
        <v>56.457999999999998</v>
      </c>
      <c r="M1172" s="586">
        <f t="shared" si="97"/>
        <v>646.49810478585846</v>
      </c>
      <c r="N1172" s="587">
        <v>60</v>
      </c>
      <c r="O1172" s="563">
        <f t="shared" si="94"/>
        <v>608.33316666666667</v>
      </c>
      <c r="P1172" s="544">
        <f t="shared" ca="1" si="95"/>
        <v>30</v>
      </c>
      <c r="Q1172" s="552">
        <f t="shared" ca="1" si="93"/>
        <v>18249.994999999999</v>
      </c>
      <c r="R1172" s="563">
        <f t="shared" ca="1" si="96"/>
        <v>18249.994999999999</v>
      </c>
      <c r="S1172" s="513" t="s">
        <v>4212</v>
      </c>
    </row>
    <row r="1173" spans="2:19" ht="50.1" customHeight="1" x14ac:dyDescent="0.25">
      <c r="B1173" s="861">
        <v>44950</v>
      </c>
      <c r="C1173" s="583">
        <v>45054</v>
      </c>
      <c r="D1173" s="583"/>
      <c r="E1173" s="513" t="s">
        <v>4084</v>
      </c>
      <c r="F1173" s="540" t="s">
        <v>4198</v>
      </c>
      <c r="G1173" s="513" t="s">
        <v>4099</v>
      </c>
      <c r="H1173" s="584" t="s">
        <v>18</v>
      </c>
      <c r="I1173" s="515" t="s">
        <v>1443</v>
      </c>
      <c r="J1173" s="513" t="s">
        <v>4081</v>
      </c>
      <c r="K1173" s="516">
        <v>36499.99</v>
      </c>
      <c r="L1173" s="580">
        <v>56.457999999999998</v>
      </c>
      <c r="M1173" s="586">
        <f t="shared" si="97"/>
        <v>646.49810478585846</v>
      </c>
      <c r="N1173" s="587">
        <v>60</v>
      </c>
      <c r="O1173" s="563">
        <f t="shared" si="94"/>
        <v>608.33316666666667</v>
      </c>
      <c r="P1173" s="544">
        <f t="shared" ca="1" si="95"/>
        <v>30</v>
      </c>
      <c r="Q1173" s="552">
        <f t="shared" ca="1" si="93"/>
        <v>18249.994999999999</v>
      </c>
      <c r="R1173" s="563">
        <f t="shared" ca="1" si="96"/>
        <v>18249.994999999999</v>
      </c>
      <c r="S1173" s="513" t="s">
        <v>4212</v>
      </c>
    </row>
    <row r="1174" spans="2:19" ht="50.1" customHeight="1" x14ac:dyDescent="0.25">
      <c r="B1174" s="861">
        <v>44950</v>
      </c>
      <c r="C1174" s="583">
        <v>45054</v>
      </c>
      <c r="D1174" s="583"/>
      <c r="E1174" s="513" t="s">
        <v>4084</v>
      </c>
      <c r="F1174" s="540" t="s">
        <v>4199</v>
      </c>
      <c r="G1174" s="513" t="s">
        <v>4099</v>
      </c>
      <c r="H1174" s="584" t="s">
        <v>18</v>
      </c>
      <c r="I1174" s="515" t="s">
        <v>1443</v>
      </c>
      <c r="J1174" s="513" t="s">
        <v>4081</v>
      </c>
      <c r="K1174" s="516">
        <v>36499.99</v>
      </c>
      <c r="L1174" s="580">
        <v>56.457999999999998</v>
      </c>
      <c r="M1174" s="586">
        <f t="shared" si="97"/>
        <v>646.49810478585846</v>
      </c>
      <c r="N1174" s="587">
        <v>60</v>
      </c>
      <c r="O1174" s="563">
        <f t="shared" si="94"/>
        <v>608.33316666666667</v>
      </c>
      <c r="P1174" s="544">
        <f t="shared" ca="1" si="95"/>
        <v>30</v>
      </c>
      <c r="Q1174" s="552">
        <f t="shared" ca="1" si="93"/>
        <v>18249.994999999999</v>
      </c>
      <c r="R1174" s="563">
        <f t="shared" ca="1" si="96"/>
        <v>18249.994999999999</v>
      </c>
      <c r="S1174" s="513" t="s">
        <v>4212</v>
      </c>
    </row>
    <row r="1175" spans="2:19" ht="50.1" customHeight="1" x14ac:dyDescent="0.25">
      <c r="B1175" s="861">
        <v>44950</v>
      </c>
      <c r="C1175" s="583">
        <v>45054</v>
      </c>
      <c r="D1175" s="583"/>
      <c r="E1175" s="513" t="s">
        <v>4084</v>
      </c>
      <c r="F1175" s="540" t="s">
        <v>4200</v>
      </c>
      <c r="G1175" s="513" t="s">
        <v>4099</v>
      </c>
      <c r="H1175" s="584" t="s">
        <v>18</v>
      </c>
      <c r="I1175" s="515" t="s">
        <v>1443</v>
      </c>
      <c r="J1175" s="513" t="s">
        <v>4081</v>
      </c>
      <c r="K1175" s="516">
        <v>36499.99</v>
      </c>
      <c r="L1175" s="580">
        <v>56.457999999999998</v>
      </c>
      <c r="M1175" s="586">
        <f t="shared" si="97"/>
        <v>646.49810478585846</v>
      </c>
      <c r="N1175" s="587">
        <v>60</v>
      </c>
      <c r="O1175" s="563">
        <f t="shared" si="94"/>
        <v>608.33316666666667</v>
      </c>
      <c r="P1175" s="544">
        <f t="shared" ca="1" si="95"/>
        <v>30</v>
      </c>
      <c r="Q1175" s="552">
        <f t="shared" ca="1" si="93"/>
        <v>18249.994999999999</v>
      </c>
      <c r="R1175" s="563">
        <f t="shared" ca="1" si="96"/>
        <v>18249.994999999999</v>
      </c>
      <c r="S1175" s="513" t="s">
        <v>4212</v>
      </c>
    </row>
    <row r="1176" spans="2:19" ht="50.1" customHeight="1" x14ac:dyDescent="0.25">
      <c r="B1176" s="861">
        <v>44950</v>
      </c>
      <c r="C1176" s="583">
        <v>45054</v>
      </c>
      <c r="D1176" s="583"/>
      <c r="E1176" s="513" t="s">
        <v>4084</v>
      </c>
      <c r="F1176" s="540" t="s">
        <v>4201</v>
      </c>
      <c r="G1176" s="513" t="s">
        <v>4099</v>
      </c>
      <c r="H1176" s="584" t="s">
        <v>18</v>
      </c>
      <c r="I1176" s="515" t="s">
        <v>1443</v>
      </c>
      <c r="J1176" s="513" t="s">
        <v>4081</v>
      </c>
      <c r="K1176" s="516">
        <v>36499.99</v>
      </c>
      <c r="L1176" s="580">
        <v>56.457999999999998</v>
      </c>
      <c r="M1176" s="586">
        <f t="shared" si="97"/>
        <v>646.49810478585846</v>
      </c>
      <c r="N1176" s="587">
        <v>60</v>
      </c>
      <c r="O1176" s="563">
        <f t="shared" si="94"/>
        <v>608.33316666666667</v>
      </c>
      <c r="P1176" s="544">
        <f t="shared" ca="1" si="95"/>
        <v>30</v>
      </c>
      <c r="Q1176" s="552">
        <f t="shared" ca="1" si="93"/>
        <v>18249.994999999999</v>
      </c>
      <c r="R1176" s="563">
        <f t="shared" ca="1" si="96"/>
        <v>18249.994999999999</v>
      </c>
      <c r="S1176" s="513" t="s">
        <v>4212</v>
      </c>
    </row>
    <row r="1177" spans="2:19" ht="50.1" customHeight="1" x14ac:dyDescent="0.25">
      <c r="B1177" s="861">
        <v>44950</v>
      </c>
      <c r="C1177" s="583">
        <v>45054</v>
      </c>
      <c r="D1177" s="583"/>
      <c r="E1177" s="513" t="s">
        <v>4084</v>
      </c>
      <c r="F1177" s="540" t="s">
        <v>4202</v>
      </c>
      <c r="G1177" s="513" t="s">
        <v>4099</v>
      </c>
      <c r="H1177" s="584" t="s">
        <v>18</v>
      </c>
      <c r="I1177" s="515" t="s">
        <v>1443</v>
      </c>
      <c r="J1177" s="513" t="s">
        <v>4081</v>
      </c>
      <c r="K1177" s="516">
        <v>36499.99</v>
      </c>
      <c r="L1177" s="580">
        <v>56.457999999999998</v>
      </c>
      <c r="M1177" s="586">
        <f t="shared" si="97"/>
        <v>646.49810478585846</v>
      </c>
      <c r="N1177" s="587">
        <v>60</v>
      </c>
      <c r="O1177" s="563">
        <f t="shared" si="94"/>
        <v>608.33316666666667</v>
      </c>
      <c r="P1177" s="544">
        <f t="shared" ca="1" si="95"/>
        <v>30</v>
      </c>
      <c r="Q1177" s="552">
        <f t="shared" ca="1" si="93"/>
        <v>18249.994999999999</v>
      </c>
      <c r="R1177" s="563">
        <f t="shared" ca="1" si="96"/>
        <v>18249.994999999999</v>
      </c>
      <c r="S1177" s="513" t="s">
        <v>4212</v>
      </c>
    </row>
    <row r="1178" spans="2:19" ht="50.1" customHeight="1" x14ac:dyDescent="0.25">
      <c r="B1178" s="861">
        <v>44950</v>
      </c>
      <c r="C1178" s="583">
        <v>45054</v>
      </c>
      <c r="D1178" s="583"/>
      <c r="E1178" s="513" t="s">
        <v>4084</v>
      </c>
      <c r="F1178" s="540" t="s">
        <v>4203</v>
      </c>
      <c r="G1178" s="513" t="s">
        <v>4099</v>
      </c>
      <c r="H1178" s="584" t="s">
        <v>18</v>
      </c>
      <c r="I1178" s="515" t="s">
        <v>1443</v>
      </c>
      <c r="J1178" s="513" t="s">
        <v>4081</v>
      </c>
      <c r="K1178" s="516">
        <v>36499.99</v>
      </c>
      <c r="L1178" s="580">
        <v>56.457999999999998</v>
      </c>
      <c r="M1178" s="586">
        <f t="shared" si="97"/>
        <v>646.49810478585846</v>
      </c>
      <c r="N1178" s="587">
        <v>60</v>
      </c>
      <c r="O1178" s="563">
        <f t="shared" si="94"/>
        <v>608.33316666666667</v>
      </c>
      <c r="P1178" s="544">
        <f t="shared" ca="1" si="95"/>
        <v>30</v>
      </c>
      <c r="Q1178" s="552">
        <f t="shared" ca="1" si="93"/>
        <v>18249.994999999999</v>
      </c>
      <c r="R1178" s="563">
        <f t="shared" ca="1" si="96"/>
        <v>18249.994999999999</v>
      </c>
      <c r="S1178" s="513" t="s">
        <v>4212</v>
      </c>
    </row>
    <row r="1179" spans="2:19" ht="50.1" customHeight="1" x14ac:dyDescent="0.25">
      <c r="B1179" s="861">
        <v>44950</v>
      </c>
      <c r="C1179" s="583">
        <v>45054</v>
      </c>
      <c r="D1179" s="583"/>
      <c r="E1179" s="513" t="s">
        <v>4084</v>
      </c>
      <c r="F1179" s="540" t="s">
        <v>4204</v>
      </c>
      <c r="G1179" s="513" t="s">
        <v>4099</v>
      </c>
      <c r="H1179" s="584" t="s">
        <v>18</v>
      </c>
      <c r="I1179" s="515" t="s">
        <v>4079</v>
      </c>
      <c r="J1179" s="513" t="s">
        <v>4077</v>
      </c>
      <c r="K1179" s="516">
        <v>36499.99</v>
      </c>
      <c r="L1179" s="580">
        <v>56.457999999999998</v>
      </c>
      <c r="M1179" s="586">
        <f t="shared" si="97"/>
        <v>646.49810478585846</v>
      </c>
      <c r="N1179" s="587">
        <v>60</v>
      </c>
      <c r="O1179" s="563">
        <f t="shared" si="94"/>
        <v>608.33316666666667</v>
      </c>
      <c r="P1179" s="544">
        <f t="shared" ca="1" si="95"/>
        <v>30</v>
      </c>
      <c r="Q1179" s="552">
        <f t="shared" ca="1" si="93"/>
        <v>18249.994999999999</v>
      </c>
      <c r="R1179" s="563">
        <f t="shared" ca="1" si="96"/>
        <v>18249.994999999999</v>
      </c>
      <c r="S1179" s="513" t="s">
        <v>4212</v>
      </c>
    </row>
    <row r="1180" spans="2:19" ht="50.1" customHeight="1" x14ac:dyDescent="0.25">
      <c r="B1180" s="861">
        <v>44950</v>
      </c>
      <c r="C1180" s="583">
        <v>45054</v>
      </c>
      <c r="D1180" s="583"/>
      <c r="E1180" s="513" t="s">
        <v>4084</v>
      </c>
      <c r="F1180" s="540" t="s">
        <v>4205</v>
      </c>
      <c r="G1180" s="513" t="s">
        <v>4099</v>
      </c>
      <c r="H1180" s="584" t="s">
        <v>18</v>
      </c>
      <c r="I1180" s="515" t="s">
        <v>4079</v>
      </c>
      <c r="J1180" s="513" t="s">
        <v>4077</v>
      </c>
      <c r="K1180" s="516">
        <v>36499.99</v>
      </c>
      <c r="L1180" s="580">
        <v>56.457999999999998</v>
      </c>
      <c r="M1180" s="586">
        <f t="shared" si="97"/>
        <v>646.49810478585846</v>
      </c>
      <c r="N1180" s="587">
        <v>60</v>
      </c>
      <c r="O1180" s="563">
        <f t="shared" si="94"/>
        <v>608.33316666666667</v>
      </c>
      <c r="P1180" s="544">
        <f t="shared" ca="1" si="95"/>
        <v>30</v>
      </c>
      <c r="Q1180" s="552">
        <f t="shared" ca="1" si="93"/>
        <v>18249.994999999999</v>
      </c>
      <c r="R1180" s="563">
        <f t="shared" ca="1" si="96"/>
        <v>18249.994999999999</v>
      </c>
      <c r="S1180" s="513" t="s">
        <v>4212</v>
      </c>
    </row>
    <row r="1181" spans="2:19" ht="50.1" customHeight="1" x14ac:dyDescent="0.25">
      <c r="B1181" s="861">
        <v>44950</v>
      </c>
      <c r="C1181" s="583">
        <v>45054</v>
      </c>
      <c r="D1181" s="583"/>
      <c r="E1181" s="513" t="s">
        <v>4084</v>
      </c>
      <c r="F1181" s="540" t="s">
        <v>4206</v>
      </c>
      <c r="G1181" s="513" t="s">
        <v>4099</v>
      </c>
      <c r="H1181" s="584" t="s">
        <v>18</v>
      </c>
      <c r="I1181" s="515" t="s">
        <v>4079</v>
      </c>
      <c r="J1181" s="513" t="s">
        <v>4078</v>
      </c>
      <c r="K1181" s="516">
        <v>36499.99</v>
      </c>
      <c r="L1181" s="580">
        <v>56.457999999999998</v>
      </c>
      <c r="M1181" s="586">
        <f t="shared" si="97"/>
        <v>646.49810478585846</v>
      </c>
      <c r="N1181" s="587">
        <v>60</v>
      </c>
      <c r="O1181" s="563">
        <f t="shared" si="94"/>
        <v>608.33316666666667</v>
      </c>
      <c r="P1181" s="544">
        <f t="shared" ca="1" si="95"/>
        <v>30</v>
      </c>
      <c r="Q1181" s="552">
        <f t="shared" ca="1" si="93"/>
        <v>18249.994999999999</v>
      </c>
      <c r="R1181" s="563">
        <f t="shared" ca="1" si="96"/>
        <v>18249.994999999999</v>
      </c>
      <c r="S1181" s="513" t="s">
        <v>4212</v>
      </c>
    </row>
    <row r="1182" spans="2:19" ht="50.1" customHeight="1" x14ac:dyDescent="0.25">
      <c r="B1182" s="861">
        <v>44950</v>
      </c>
      <c r="C1182" s="583">
        <v>45054</v>
      </c>
      <c r="D1182" s="583"/>
      <c r="E1182" s="513" t="s">
        <v>4084</v>
      </c>
      <c r="F1182" s="540" t="s">
        <v>4207</v>
      </c>
      <c r="G1182" s="513" t="s">
        <v>4099</v>
      </c>
      <c r="H1182" s="584" t="s">
        <v>18</v>
      </c>
      <c r="I1182" s="515" t="s">
        <v>4079</v>
      </c>
      <c r="J1182" s="513" t="s">
        <v>4078</v>
      </c>
      <c r="K1182" s="516">
        <v>36499.99</v>
      </c>
      <c r="L1182" s="580">
        <v>56.457999999999998</v>
      </c>
      <c r="M1182" s="586">
        <f t="shared" si="97"/>
        <v>646.49810478585846</v>
      </c>
      <c r="N1182" s="587">
        <v>60</v>
      </c>
      <c r="O1182" s="563">
        <f t="shared" si="94"/>
        <v>608.33316666666667</v>
      </c>
      <c r="P1182" s="544">
        <f t="shared" ca="1" si="95"/>
        <v>30</v>
      </c>
      <c r="Q1182" s="552">
        <f t="shared" ca="1" si="93"/>
        <v>18249.994999999999</v>
      </c>
      <c r="R1182" s="563">
        <f t="shared" ca="1" si="96"/>
        <v>18249.994999999999</v>
      </c>
      <c r="S1182" s="513" t="s">
        <v>4212</v>
      </c>
    </row>
    <row r="1183" spans="2:19" ht="50.1" customHeight="1" x14ac:dyDescent="0.25">
      <c r="B1183" s="861">
        <v>44950</v>
      </c>
      <c r="C1183" s="583">
        <v>45054</v>
      </c>
      <c r="D1183" s="583"/>
      <c r="E1183" s="513" t="s">
        <v>4084</v>
      </c>
      <c r="F1183" s="540" t="s">
        <v>4230</v>
      </c>
      <c r="G1183" s="513" t="s">
        <v>7088</v>
      </c>
      <c r="H1183" s="584" t="s">
        <v>18</v>
      </c>
      <c r="I1183" s="515" t="s">
        <v>4380</v>
      </c>
      <c r="J1183" s="513" t="s">
        <v>4080</v>
      </c>
      <c r="K1183" s="516">
        <v>14999.99</v>
      </c>
      <c r="L1183" s="580">
        <v>56.457999999999998</v>
      </c>
      <c r="M1183" s="586">
        <f t="shared" si="97"/>
        <v>265.68404831910448</v>
      </c>
      <c r="N1183" s="587">
        <v>60</v>
      </c>
      <c r="O1183" s="563">
        <f t="shared" si="94"/>
        <v>249.99983333333333</v>
      </c>
      <c r="P1183" s="544">
        <f t="shared" ca="1" si="95"/>
        <v>30</v>
      </c>
      <c r="Q1183" s="552">
        <f t="shared" ca="1" si="93"/>
        <v>7499.9949999999999</v>
      </c>
      <c r="R1183" s="563">
        <f t="shared" ca="1" si="96"/>
        <v>7499.9949999999999</v>
      </c>
      <c r="S1183" s="513" t="s">
        <v>4212</v>
      </c>
    </row>
    <row r="1184" spans="2:19" ht="50.1" customHeight="1" x14ac:dyDescent="0.25">
      <c r="B1184" s="861">
        <v>44950</v>
      </c>
      <c r="C1184" s="583">
        <v>45054</v>
      </c>
      <c r="D1184" s="583"/>
      <c r="E1184" s="513" t="s">
        <v>4084</v>
      </c>
      <c r="F1184" s="540" t="s">
        <v>4231</v>
      </c>
      <c r="G1184" s="513" t="s">
        <v>7088</v>
      </c>
      <c r="H1184" s="584" t="s">
        <v>18</v>
      </c>
      <c r="I1184" s="515" t="s">
        <v>4380</v>
      </c>
      <c r="J1184" s="513" t="s">
        <v>4080</v>
      </c>
      <c r="K1184" s="516">
        <v>14999.99</v>
      </c>
      <c r="L1184" s="580">
        <v>56.457999999999998</v>
      </c>
      <c r="M1184" s="586">
        <f t="shared" si="97"/>
        <v>265.68404831910448</v>
      </c>
      <c r="N1184" s="587">
        <v>60</v>
      </c>
      <c r="O1184" s="563">
        <f t="shared" si="94"/>
        <v>249.99983333333333</v>
      </c>
      <c r="P1184" s="544">
        <f t="shared" ca="1" si="95"/>
        <v>30</v>
      </c>
      <c r="Q1184" s="552">
        <f t="shared" ca="1" si="93"/>
        <v>7499.9949999999999</v>
      </c>
      <c r="R1184" s="563">
        <f t="shared" ca="1" si="96"/>
        <v>7499.9949999999999</v>
      </c>
      <c r="S1184" s="513" t="s">
        <v>4212</v>
      </c>
    </row>
    <row r="1185" spans="2:19" ht="50.1" customHeight="1" x14ac:dyDescent="0.25">
      <c r="B1185" s="861">
        <v>44950</v>
      </c>
      <c r="C1185" s="583">
        <v>45054</v>
      </c>
      <c r="D1185" s="583"/>
      <c r="E1185" s="513" t="s">
        <v>4084</v>
      </c>
      <c r="F1185" s="540" t="s">
        <v>4232</v>
      </c>
      <c r="G1185" s="513" t="s">
        <v>7088</v>
      </c>
      <c r="H1185" s="584" t="s">
        <v>18</v>
      </c>
      <c r="I1185" s="515" t="s">
        <v>4380</v>
      </c>
      <c r="J1185" s="513" t="s">
        <v>4080</v>
      </c>
      <c r="K1185" s="516">
        <v>14999.99</v>
      </c>
      <c r="L1185" s="580">
        <v>56.457999999999998</v>
      </c>
      <c r="M1185" s="586">
        <f t="shared" si="97"/>
        <v>265.68404831910448</v>
      </c>
      <c r="N1185" s="587">
        <v>60</v>
      </c>
      <c r="O1185" s="563">
        <f t="shared" si="94"/>
        <v>249.99983333333333</v>
      </c>
      <c r="P1185" s="544">
        <f t="shared" ca="1" si="95"/>
        <v>30</v>
      </c>
      <c r="Q1185" s="552">
        <f t="shared" ca="1" si="93"/>
        <v>7499.9949999999999</v>
      </c>
      <c r="R1185" s="563">
        <f t="shared" ca="1" si="96"/>
        <v>7499.9949999999999</v>
      </c>
      <c r="S1185" s="513" t="s">
        <v>4212</v>
      </c>
    </row>
    <row r="1186" spans="2:19" ht="50.1" customHeight="1" x14ac:dyDescent="0.25">
      <c r="B1186" s="861">
        <v>44950</v>
      </c>
      <c r="C1186" s="583">
        <v>45054</v>
      </c>
      <c r="D1186" s="583"/>
      <c r="E1186" s="513" t="s">
        <v>4084</v>
      </c>
      <c r="F1186" s="540" t="s">
        <v>4233</v>
      </c>
      <c r="G1186" s="513" t="s">
        <v>7088</v>
      </c>
      <c r="H1186" s="584" t="s">
        <v>18</v>
      </c>
      <c r="I1186" s="515" t="s">
        <v>1443</v>
      </c>
      <c r="J1186" s="513" t="s">
        <v>4383</v>
      </c>
      <c r="K1186" s="516">
        <v>14999.99</v>
      </c>
      <c r="L1186" s="580">
        <v>56.457999999999998</v>
      </c>
      <c r="M1186" s="586">
        <f t="shared" si="97"/>
        <v>265.68404831910448</v>
      </c>
      <c r="N1186" s="587">
        <v>60</v>
      </c>
      <c r="O1186" s="563">
        <f t="shared" si="94"/>
        <v>249.99983333333333</v>
      </c>
      <c r="P1186" s="544">
        <f t="shared" ca="1" si="95"/>
        <v>30</v>
      </c>
      <c r="Q1186" s="552">
        <f t="shared" ca="1" si="93"/>
        <v>7499.9949999999999</v>
      </c>
      <c r="R1186" s="563">
        <f t="shared" ca="1" si="96"/>
        <v>7499.9949999999999</v>
      </c>
      <c r="S1186" s="513" t="s">
        <v>4212</v>
      </c>
    </row>
    <row r="1187" spans="2:19" ht="50.1" customHeight="1" x14ac:dyDescent="0.25">
      <c r="B1187" s="861">
        <v>44950</v>
      </c>
      <c r="C1187" s="583">
        <v>45054</v>
      </c>
      <c r="D1187" s="583"/>
      <c r="E1187" s="513" t="s">
        <v>4084</v>
      </c>
      <c r="F1187" s="540" t="s">
        <v>4234</v>
      </c>
      <c r="G1187" s="513" t="s">
        <v>7088</v>
      </c>
      <c r="H1187" s="584" t="s">
        <v>18</v>
      </c>
      <c r="I1187" s="515" t="s">
        <v>1443</v>
      </c>
      <c r="J1187" s="513" t="s">
        <v>4383</v>
      </c>
      <c r="K1187" s="516">
        <v>14999.99</v>
      </c>
      <c r="L1187" s="580">
        <v>56.457999999999998</v>
      </c>
      <c r="M1187" s="586">
        <f t="shared" si="97"/>
        <v>265.68404831910448</v>
      </c>
      <c r="N1187" s="587">
        <v>60</v>
      </c>
      <c r="O1187" s="563">
        <f t="shared" si="94"/>
        <v>249.99983333333333</v>
      </c>
      <c r="P1187" s="544">
        <f t="shared" ca="1" si="95"/>
        <v>30</v>
      </c>
      <c r="Q1187" s="552">
        <f t="shared" ca="1" si="93"/>
        <v>7499.9949999999999</v>
      </c>
      <c r="R1187" s="563">
        <f t="shared" ca="1" si="96"/>
        <v>7499.9949999999999</v>
      </c>
      <c r="S1187" s="513" t="s">
        <v>4212</v>
      </c>
    </row>
    <row r="1188" spans="2:19" ht="50.1" customHeight="1" x14ac:dyDescent="0.25">
      <c r="B1188" s="861">
        <v>44950</v>
      </c>
      <c r="C1188" s="583">
        <v>45054</v>
      </c>
      <c r="D1188" s="583"/>
      <c r="E1188" s="513" t="s">
        <v>4084</v>
      </c>
      <c r="F1188" s="540" t="s">
        <v>4235</v>
      </c>
      <c r="G1188" s="513" t="s">
        <v>7088</v>
      </c>
      <c r="H1188" s="584" t="s">
        <v>18</v>
      </c>
      <c r="I1188" s="515" t="s">
        <v>1443</v>
      </c>
      <c r="J1188" s="513" t="s">
        <v>4081</v>
      </c>
      <c r="K1188" s="516">
        <v>14999.99</v>
      </c>
      <c r="L1188" s="580">
        <v>56.457999999999998</v>
      </c>
      <c r="M1188" s="586">
        <f t="shared" si="97"/>
        <v>265.68404831910448</v>
      </c>
      <c r="N1188" s="587">
        <v>60</v>
      </c>
      <c r="O1188" s="563">
        <f t="shared" si="94"/>
        <v>249.99983333333333</v>
      </c>
      <c r="P1188" s="544">
        <f t="shared" ca="1" si="95"/>
        <v>30</v>
      </c>
      <c r="Q1188" s="552">
        <f t="shared" ca="1" si="93"/>
        <v>7499.9949999999999</v>
      </c>
      <c r="R1188" s="563">
        <f t="shared" ca="1" si="96"/>
        <v>7499.9949999999999</v>
      </c>
      <c r="S1188" s="513" t="s">
        <v>4212</v>
      </c>
    </row>
    <row r="1189" spans="2:19" ht="50.1" customHeight="1" x14ac:dyDescent="0.25">
      <c r="B1189" s="861">
        <v>44950</v>
      </c>
      <c r="C1189" s="583">
        <v>45054</v>
      </c>
      <c r="D1189" s="583"/>
      <c r="E1189" s="513" t="s">
        <v>4084</v>
      </c>
      <c r="F1189" s="540" t="s">
        <v>4236</v>
      </c>
      <c r="G1189" s="513" t="s">
        <v>7088</v>
      </c>
      <c r="H1189" s="584" t="s">
        <v>18</v>
      </c>
      <c r="I1189" s="515" t="s">
        <v>1443</v>
      </c>
      <c r="J1189" s="513" t="s">
        <v>4081</v>
      </c>
      <c r="K1189" s="516">
        <v>14999.99</v>
      </c>
      <c r="L1189" s="580">
        <v>56.457999999999998</v>
      </c>
      <c r="M1189" s="586">
        <f t="shared" si="97"/>
        <v>265.68404831910448</v>
      </c>
      <c r="N1189" s="587">
        <v>60</v>
      </c>
      <c r="O1189" s="563">
        <f t="shared" si="94"/>
        <v>249.99983333333333</v>
      </c>
      <c r="P1189" s="544">
        <f t="shared" ca="1" si="95"/>
        <v>30</v>
      </c>
      <c r="Q1189" s="552">
        <f t="shared" ca="1" si="93"/>
        <v>7499.9949999999999</v>
      </c>
      <c r="R1189" s="563">
        <f t="shared" ca="1" si="96"/>
        <v>7499.9949999999999</v>
      </c>
      <c r="S1189" s="513" t="s">
        <v>4212</v>
      </c>
    </row>
    <row r="1190" spans="2:19" ht="50.1" customHeight="1" x14ac:dyDescent="0.25">
      <c r="B1190" s="861">
        <v>44950</v>
      </c>
      <c r="C1190" s="583">
        <v>45054</v>
      </c>
      <c r="D1190" s="583"/>
      <c r="E1190" s="513" t="s">
        <v>4084</v>
      </c>
      <c r="F1190" s="540" t="s">
        <v>4237</v>
      </c>
      <c r="G1190" s="513" t="s">
        <v>7088</v>
      </c>
      <c r="H1190" s="584" t="s">
        <v>18</v>
      </c>
      <c r="I1190" s="515" t="s">
        <v>1443</v>
      </c>
      <c r="J1190" s="513" t="s">
        <v>4081</v>
      </c>
      <c r="K1190" s="516">
        <v>14999.99</v>
      </c>
      <c r="L1190" s="580">
        <v>56.457999999999998</v>
      </c>
      <c r="M1190" s="586">
        <f t="shared" si="97"/>
        <v>265.68404831910448</v>
      </c>
      <c r="N1190" s="587">
        <v>60</v>
      </c>
      <c r="O1190" s="563">
        <f t="shared" si="94"/>
        <v>249.99983333333333</v>
      </c>
      <c r="P1190" s="544">
        <f t="shared" ca="1" si="95"/>
        <v>30</v>
      </c>
      <c r="Q1190" s="552">
        <f t="shared" ca="1" si="93"/>
        <v>7499.9949999999999</v>
      </c>
      <c r="R1190" s="563">
        <f t="shared" ca="1" si="96"/>
        <v>7499.9949999999999</v>
      </c>
      <c r="S1190" s="513" t="s">
        <v>4212</v>
      </c>
    </row>
    <row r="1191" spans="2:19" ht="50.1" customHeight="1" x14ac:dyDescent="0.25">
      <c r="B1191" s="861">
        <v>44950</v>
      </c>
      <c r="C1191" s="583">
        <v>45054</v>
      </c>
      <c r="D1191" s="583"/>
      <c r="E1191" s="513" t="s">
        <v>4084</v>
      </c>
      <c r="F1191" s="540" t="s">
        <v>4238</v>
      </c>
      <c r="G1191" s="513" t="s">
        <v>7088</v>
      </c>
      <c r="H1191" s="584" t="s">
        <v>18</v>
      </c>
      <c r="I1191" s="515" t="s">
        <v>4079</v>
      </c>
      <c r="J1191" s="513" t="s">
        <v>4076</v>
      </c>
      <c r="K1191" s="516">
        <v>14999.99</v>
      </c>
      <c r="L1191" s="580">
        <v>56.457999999999998</v>
      </c>
      <c r="M1191" s="586">
        <f t="shared" si="97"/>
        <v>265.68404831910448</v>
      </c>
      <c r="N1191" s="587">
        <v>60</v>
      </c>
      <c r="O1191" s="563">
        <f t="shared" si="94"/>
        <v>249.99983333333333</v>
      </c>
      <c r="P1191" s="544">
        <f t="shared" ca="1" si="95"/>
        <v>30</v>
      </c>
      <c r="Q1191" s="552">
        <f t="shared" ca="1" si="93"/>
        <v>7499.9949999999999</v>
      </c>
      <c r="R1191" s="563">
        <f t="shared" ca="1" si="96"/>
        <v>7499.9949999999999</v>
      </c>
      <c r="S1191" s="513" t="s">
        <v>4212</v>
      </c>
    </row>
    <row r="1192" spans="2:19" ht="50.1" customHeight="1" x14ac:dyDescent="0.25">
      <c r="B1192" s="861">
        <v>44950</v>
      </c>
      <c r="C1192" s="583">
        <v>45054</v>
      </c>
      <c r="D1192" s="583"/>
      <c r="E1192" s="513" t="s">
        <v>4084</v>
      </c>
      <c r="F1192" s="540" t="s">
        <v>4242</v>
      </c>
      <c r="G1192" s="513" t="s">
        <v>7088</v>
      </c>
      <c r="H1192" s="584" t="s">
        <v>18</v>
      </c>
      <c r="I1192" s="515" t="s">
        <v>4079</v>
      </c>
      <c r="J1192" s="513" t="s">
        <v>4076</v>
      </c>
      <c r="K1192" s="516">
        <v>14999.99</v>
      </c>
      <c r="L1192" s="580">
        <v>56.457999999999998</v>
      </c>
      <c r="M1192" s="586">
        <f t="shared" si="97"/>
        <v>265.68404831910448</v>
      </c>
      <c r="N1192" s="587">
        <v>60</v>
      </c>
      <c r="O1192" s="563">
        <f t="shared" si="94"/>
        <v>249.99983333333333</v>
      </c>
      <c r="P1192" s="544">
        <f t="shared" ca="1" si="95"/>
        <v>30</v>
      </c>
      <c r="Q1192" s="552">
        <f t="shared" ca="1" si="93"/>
        <v>7499.9949999999999</v>
      </c>
      <c r="R1192" s="563">
        <f t="shared" ca="1" si="96"/>
        <v>7499.9949999999999</v>
      </c>
      <c r="S1192" s="513" t="s">
        <v>4212</v>
      </c>
    </row>
    <row r="1193" spans="2:19" ht="50.1" customHeight="1" x14ac:dyDescent="0.25">
      <c r="B1193" s="861">
        <v>44950</v>
      </c>
      <c r="C1193" s="583">
        <v>45054</v>
      </c>
      <c r="D1193" s="583"/>
      <c r="E1193" s="513" t="s">
        <v>4084</v>
      </c>
      <c r="F1193" s="540" t="s">
        <v>4239</v>
      </c>
      <c r="G1193" s="513" t="s">
        <v>7088</v>
      </c>
      <c r="H1193" s="584" t="s">
        <v>18</v>
      </c>
      <c r="I1193" s="515" t="s">
        <v>4079</v>
      </c>
      <c r="J1193" s="513" t="s">
        <v>4076</v>
      </c>
      <c r="K1193" s="516">
        <v>14999.99</v>
      </c>
      <c r="L1193" s="580">
        <v>56.457999999999998</v>
      </c>
      <c r="M1193" s="586">
        <f t="shared" si="97"/>
        <v>265.68404831910448</v>
      </c>
      <c r="N1193" s="587">
        <v>60</v>
      </c>
      <c r="O1193" s="563">
        <f t="shared" si="94"/>
        <v>249.99983333333333</v>
      </c>
      <c r="P1193" s="544">
        <f t="shared" ca="1" si="95"/>
        <v>30</v>
      </c>
      <c r="Q1193" s="552">
        <f t="shared" ca="1" si="93"/>
        <v>7499.9949999999999</v>
      </c>
      <c r="R1193" s="563">
        <f t="shared" ca="1" si="96"/>
        <v>7499.9949999999999</v>
      </c>
      <c r="S1193" s="513" t="s">
        <v>4212</v>
      </c>
    </row>
    <row r="1194" spans="2:19" ht="50.1" customHeight="1" x14ac:dyDescent="0.25">
      <c r="B1194" s="861">
        <v>44950</v>
      </c>
      <c r="C1194" s="583">
        <v>45054</v>
      </c>
      <c r="D1194" s="583"/>
      <c r="E1194" s="513" t="s">
        <v>4084</v>
      </c>
      <c r="F1194" s="540" t="s">
        <v>4240</v>
      </c>
      <c r="G1194" s="513" t="s">
        <v>7088</v>
      </c>
      <c r="H1194" s="584" t="s">
        <v>18</v>
      </c>
      <c r="I1194" s="515" t="s">
        <v>4079</v>
      </c>
      <c r="J1194" s="513" t="s">
        <v>4078</v>
      </c>
      <c r="K1194" s="516">
        <v>14999.99</v>
      </c>
      <c r="L1194" s="580">
        <v>56.457999999999998</v>
      </c>
      <c r="M1194" s="586">
        <f t="shared" si="97"/>
        <v>265.68404831910448</v>
      </c>
      <c r="N1194" s="587">
        <v>60</v>
      </c>
      <c r="O1194" s="563">
        <f t="shared" si="94"/>
        <v>249.99983333333333</v>
      </c>
      <c r="P1194" s="544">
        <f t="shared" ca="1" si="95"/>
        <v>30</v>
      </c>
      <c r="Q1194" s="552">
        <f t="shared" ca="1" si="93"/>
        <v>7499.9949999999999</v>
      </c>
      <c r="R1194" s="563">
        <f t="shared" ca="1" si="96"/>
        <v>7499.9949999999999</v>
      </c>
      <c r="S1194" s="513" t="s">
        <v>4212</v>
      </c>
    </row>
    <row r="1195" spans="2:19" ht="50.1" customHeight="1" x14ac:dyDescent="0.25">
      <c r="B1195" s="861">
        <v>44950</v>
      </c>
      <c r="C1195" s="583">
        <v>45054</v>
      </c>
      <c r="D1195" s="583"/>
      <c r="E1195" s="513" t="s">
        <v>4084</v>
      </c>
      <c r="F1195" s="540" t="s">
        <v>4241</v>
      </c>
      <c r="G1195" s="513" t="s">
        <v>7088</v>
      </c>
      <c r="H1195" s="584" t="s">
        <v>18</v>
      </c>
      <c r="I1195" s="515" t="s">
        <v>4079</v>
      </c>
      <c r="J1195" s="513" t="s">
        <v>4078</v>
      </c>
      <c r="K1195" s="516">
        <v>14999.99</v>
      </c>
      <c r="L1195" s="580">
        <v>56.457999999999998</v>
      </c>
      <c r="M1195" s="586">
        <f t="shared" si="97"/>
        <v>265.68404831910448</v>
      </c>
      <c r="N1195" s="587">
        <v>60</v>
      </c>
      <c r="O1195" s="563">
        <f t="shared" si="94"/>
        <v>249.99983333333333</v>
      </c>
      <c r="P1195" s="544">
        <f t="shared" ca="1" si="95"/>
        <v>30</v>
      </c>
      <c r="Q1195" s="552">
        <f t="shared" ca="1" si="93"/>
        <v>7499.9949999999999</v>
      </c>
      <c r="R1195" s="563">
        <f t="shared" ca="1" si="96"/>
        <v>7499.9949999999999</v>
      </c>
      <c r="S1195" s="513" t="s">
        <v>4212</v>
      </c>
    </row>
    <row r="1196" spans="2:19" ht="50.1" customHeight="1" x14ac:dyDescent="0.25">
      <c r="B1196" s="861">
        <v>44950</v>
      </c>
      <c r="C1196" s="583">
        <v>45054</v>
      </c>
      <c r="D1196" s="583"/>
      <c r="E1196" s="513" t="s">
        <v>4084</v>
      </c>
      <c r="F1196" s="540" t="s">
        <v>4175</v>
      </c>
      <c r="G1196" s="513" t="s">
        <v>4097</v>
      </c>
      <c r="H1196" s="584" t="s">
        <v>18</v>
      </c>
      <c r="I1196" s="515" t="s">
        <v>4079</v>
      </c>
      <c r="J1196" s="513" t="s">
        <v>4078</v>
      </c>
      <c r="K1196" s="516">
        <v>17599.990000000002</v>
      </c>
      <c r="L1196" s="580">
        <v>56.457999999999998</v>
      </c>
      <c r="M1196" s="586">
        <f t="shared" si="97"/>
        <v>311.73598072903758</v>
      </c>
      <c r="N1196" s="587">
        <v>60</v>
      </c>
      <c r="O1196" s="563">
        <f t="shared" si="94"/>
        <v>293.33316666666667</v>
      </c>
      <c r="P1196" s="544">
        <f t="shared" ca="1" si="95"/>
        <v>30</v>
      </c>
      <c r="Q1196" s="552">
        <f t="shared" ca="1" si="93"/>
        <v>8799.9950000000008</v>
      </c>
      <c r="R1196" s="563">
        <f t="shared" ca="1" si="96"/>
        <v>8799.9950000000008</v>
      </c>
      <c r="S1196" s="513" t="s">
        <v>4212</v>
      </c>
    </row>
    <row r="1197" spans="2:19" ht="50.1" customHeight="1" x14ac:dyDescent="0.25">
      <c r="B1197" s="861">
        <v>44950</v>
      </c>
      <c r="C1197" s="583">
        <v>45054</v>
      </c>
      <c r="D1197" s="583"/>
      <c r="E1197" s="513" t="s">
        <v>4084</v>
      </c>
      <c r="F1197" s="540" t="s">
        <v>4174</v>
      </c>
      <c r="G1197" s="513" t="s">
        <v>4096</v>
      </c>
      <c r="H1197" s="584" t="s">
        <v>18</v>
      </c>
      <c r="I1197" s="515" t="s">
        <v>4079</v>
      </c>
      <c r="J1197" s="513" t="s">
        <v>4077</v>
      </c>
      <c r="K1197" s="516">
        <v>17599.990000000002</v>
      </c>
      <c r="L1197" s="580">
        <v>56.457999999999998</v>
      </c>
      <c r="M1197" s="586">
        <f t="shared" si="97"/>
        <v>311.73598072903758</v>
      </c>
      <c r="N1197" s="587">
        <v>60</v>
      </c>
      <c r="O1197" s="563">
        <f t="shared" si="94"/>
        <v>293.33316666666667</v>
      </c>
      <c r="P1197" s="544">
        <f t="shared" ca="1" si="95"/>
        <v>30</v>
      </c>
      <c r="Q1197" s="552">
        <f t="shared" ca="1" si="93"/>
        <v>8799.9950000000008</v>
      </c>
      <c r="R1197" s="563">
        <f t="shared" ca="1" si="96"/>
        <v>8799.9950000000008</v>
      </c>
      <c r="S1197" s="513" t="s">
        <v>4212</v>
      </c>
    </row>
    <row r="1198" spans="2:19" ht="50.1" customHeight="1" x14ac:dyDescent="0.25">
      <c r="B1198" s="861">
        <v>44950</v>
      </c>
      <c r="C1198" s="583">
        <v>45054</v>
      </c>
      <c r="D1198" s="583"/>
      <c r="E1198" s="513" t="s">
        <v>4084</v>
      </c>
      <c r="F1198" s="540" t="s">
        <v>4173</v>
      </c>
      <c r="G1198" s="513" t="s">
        <v>4095</v>
      </c>
      <c r="H1198" s="584" t="s">
        <v>18</v>
      </c>
      <c r="I1198" s="515" t="s">
        <v>1443</v>
      </c>
      <c r="J1198" s="513" t="s">
        <v>4081</v>
      </c>
      <c r="K1198" s="516">
        <v>17599.990000000002</v>
      </c>
      <c r="L1198" s="580">
        <v>56.457999999999998</v>
      </c>
      <c r="M1198" s="586">
        <f t="shared" si="97"/>
        <v>311.73598072903758</v>
      </c>
      <c r="N1198" s="587">
        <v>60</v>
      </c>
      <c r="O1198" s="563">
        <f t="shared" si="94"/>
        <v>293.33316666666667</v>
      </c>
      <c r="P1198" s="544">
        <f t="shared" ca="1" si="95"/>
        <v>30</v>
      </c>
      <c r="Q1198" s="552">
        <f t="shared" ca="1" si="93"/>
        <v>8799.9950000000008</v>
      </c>
      <c r="R1198" s="563">
        <f t="shared" ca="1" si="96"/>
        <v>8799.9950000000008</v>
      </c>
      <c r="S1198" s="513" t="s">
        <v>4212</v>
      </c>
    </row>
    <row r="1199" spans="2:19" ht="50.1" customHeight="1" x14ac:dyDescent="0.25">
      <c r="B1199" s="861">
        <v>44950</v>
      </c>
      <c r="C1199" s="583">
        <v>45054</v>
      </c>
      <c r="D1199" s="583"/>
      <c r="E1199" s="513" t="s">
        <v>4084</v>
      </c>
      <c r="F1199" s="540" t="s">
        <v>4172</v>
      </c>
      <c r="G1199" s="513" t="s">
        <v>4094</v>
      </c>
      <c r="H1199" s="584" t="s">
        <v>18</v>
      </c>
      <c r="I1199" s="515" t="s">
        <v>4380</v>
      </c>
      <c r="J1199" s="513" t="s">
        <v>4080</v>
      </c>
      <c r="K1199" s="516">
        <v>17599.990000000002</v>
      </c>
      <c r="L1199" s="580">
        <v>56.457999999999998</v>
      </c>
      <c r="M1199" s="586">
        <f t="shared" si="97"/>
        <v>311.73598072903758</v>
      </c>
      <c r="N1199" s="587">
        <v>60</v>
      </c>
      <c r="O1199" s="563">
        <f t="shared" si="94"/>
        <v>293.33316666666667</v>
      </c>
      <c r="P1199" s="544">
        <f t="shared" ca="1" si="95"/>
        <v>30</v>
      </c>
      <c r="Q1199" s="552">
        <f t="shared" ca="1" si="93"/>
        <v>8799.9950000000008</v>
      </c>
      <c r="R1199" s="563">
        <f t="shared" ca="1" si="96"/>
        <v>8799.9950000000008</v>
      </c>
      <c r="S1199" s="513" t="s">
        <v>4212</v>
      </c>
    </row>
    <row r="1200" spans="2:19" ht="50.1" customHeight="1" x14ac:dyDescent="0.25">
      <c r="B1200" s="861">
        <v>44950</v>
      </c>
      <c r="C1200" s="583">
        <v>45054</v>
      </c>
      <c r="D1200" s="583"/>
      <c r="E1200" s="513" t="s">
        <v>4084</v>
      </c>
      <c r="F1200" s="540" t="s">
        <v>4164</v>
      </c>
      <c r="G1200" s="513" t="s">
        <v>4092</v>
      </c>
      <c r="H1200" s="584" t="s">
        <v>18</v>
      </c>
      <c r="I1200" s="515" t="s">
        <v>1443</v>
      </c>
      <c r="J1200" s="513" t="s">
        <v>4081</v>
      </c>
      <c r="K1200" s="516">
        <v>74999.990000000005</v>
      </c>
      <c r="L1200" s="580">
        <v>56.457999999999998</v>
      </c>
      <c r="M1200" s="586">
        <f t="shared" si="97"/>
        <v>1328.4209500867903</v>
      </c>
      <c r="N1200" s="587">
        <v>60</v>
      </c>
      <c r="O1200" s="563">
        <f t="shared" si="94"/>
        <v>1249.9998333333335</v>
      </c>
      <c r="P1200" s="544">
        <f t="shared" ca="1" si="95"/>
        <v>30</v>
      </c>
      <c r="Q1200" s="552">
        <f t="shared" ca="1" si="93"/>
        <v>37499.995000000003</v>
      </c>
      <c r="R1200" s="563">
        <f t="shared" ca="1" si="96"/>
        <v>37499.995000000003</v>
      </c>
      <c r="S1200" s="513" t="s">
        <v>4212</v>
      </c>
    </row>
    <row r="1201" spans="2:19" ht="50.1" customHeight="1" x14ac:dyDescent="0.25">
      <c r="B1201" s="861">
        <v>44950</v>
      </c>
      <c r="C1201" s="583">
        <v>45054</v>
      </c>
      <c r="D1201" s="583"/>
      <c r="E1201" s="513" t="s">
        <v>4084</v>
      </c>
      <c r="F1201" s="540" t="s">
        <v>4165</v>
      </c>
      <c r="G1201" s="513" t="s">
        <v>4092</v>
      </c>
      <c r="H1201" s="584" t="s">
        <v>18</v>
      </c>
      <c r="I1201" s="515" t="s">
        <v>1443</v>
      </c>
      <c r="J1201" s="513" t="s">
        <v>4081</v>
      </c>
      <c r="K1201" s="516">
        <v>74999.990000000005</v>
      </c>
      <c r="L1201" s="580">
        <v>56.457999999999998</v>
      </c>
      <c r="M1201" s="586">
        <f t="shared" si="97"/>
        <v>1328.4209500867903</v>
      </c>
      <c r="N1201" s="587">
        <v>60</v>
      </c>
      <c r="O1201" s="563">
        <f t="shared" si="94"/>
        <v>1249.9998333333335</v>
      </c>
      <c r="P1201" s="544">
        <f t="shared" ca="1" si="95"/>
        <v>30</v>
      </c>
      <c r="Q1201" s="552">
        <f t="shared" ca="1" si="93"/>
        <v>37499.995000000003</v>
      </c>
      <c r="R1201" s="563">
        <f t="shared" ca="1" si="96"/>
        <v>37499.995000000003</v>
      </c>
      <c r="S1201" s="513" t="s">
        <v>4212</v>
      </c>
    </row>
    <row r="1202" spans="2:19" ht="50.1" customHeight="1" x14ac:dyDescent="0.25">
      <c r="B1202" s="861">
        <v>44950</v>
      </c>
      <c r="C1202" s="583">
        <v>45054</v>
      </c>
      <c r="D1202" s="583"/>
      <c r="E1202" s="513" t="s">
        <v>4084</v>
      </c>
      <c r="F1202" s="540" t="s">
        <v>4166</v>
      </c>
      <c r="G1202" s="513" t="s">
        <v>4092</v>
      </c>
      <c r="H1202" s="584" t="s">
        <v>18</v>
      </c>
      <c r="I1202" s="515" t="s">
        <v>1443</v>
      </c>
      <c r="J1202" s="513" t="s">
        <v>4081</v>
      </c>
      <c r="K1202" s="516">
        <v>74999.990000000005</v>
      </c>
      <c r="L1202" s="580">
        <v>56.457999999999998</v>
      </c>
      <c r="M1202" s="586">
        <f t="shared" si="97"/>
        <v>1328.4209500867903</v>
      </c>
      <c r="N1202" s="587">
        <v>60</v>
      </c>
      <c r="O1202" s="563">
        <f t="shared" si="94"/>
        <v>1249.9998333333335</v>
      </c>
      <c r="P1202" s="544">
        <f t="shared" ca="1" si="95"/>
        <v>30</v>
      </c>
      <c r="Q1202" s="552">
        <f t="shared" ca="1" si="93"/>
        <v>37499.995000000003</v>
      </c>
      <c r="R1202" s="563">
        <f t="shared" ca="1" si="96"/>
        <v>37499.995000000003</v>
      </c>
      <c r="S1202" s="513" t="s">
        <v>4212</v>
      </c>
    </row>
    <row r="1203" spans="2:19" ht="50.1" customHeight="1" x14ac:dyDescent="0.25">
      <c r="B1203" s="861">
        <v>44950</v>
      </c>
      <c r="C1203" s="583">
        <v>45054</v>
      </c>
      <c r="D1203" s="583"/>
      <c r="E1203" s="513" t="s">
        <v>4084</v>
      </c>
      <c r="F1203" s="540" t="s">
        <v>4167</v>
      </c>
      <c r="G1203" s="513" t="s">
        <v>4092</v>
      </c>
      <c r="H1203" s="584" t="s">
        <v>18</v>
      </c>
      <c r="I1203" s="539" t="s">
        <v>4079</v>
      </c>
      <c r="J1203" s="513" t="s">
        <v>4076</v>
      </c>
      <c r="K1203" s="516">
        <v>74999.990000000005</v>
      </c>
      <c r="L1203" s="580">
        <v>56.457999999999998</v>
      </c>
      <c r="M1203" s="586">
        <f t="shared" si="97"/>
        <v>1328.4209500867903</v>
      </c>
      <c r="N1203" s="587">
        <v>60</v>
      </c>
      <c r="O1203" s="563">
        <f t="shared" si="94"/>
        <v>1249.9998333333335</v>
      </c>
      <c r="P1203" s="544">
        <f t="shared" ca="1" si="95"/>
        <v>30</v>
      </c>
      <c r="Q1203" s="552">
        <f t="shared" ca="1" si="93"/>
        <v>37499.995000000003</v>
      </c>
      <c r="R1203" s="563">
        <f t="shared" ca="1" si="96"/>
        <v>37499.995000000003</v>
      </c>
      <c r="S1203" s="513" t="s">
        <v>4212</v>
      </c>
    </row>
    <row r="1204" spans="2:19" ht="50.1" customHeight="1" x14ac:dyDescent="0.25">
      <c r="B1204" s="861">
        <v>44950</v>
      </c>
      <c r="C1204" s="583">
        <v>45054</v>
      </c>
      <c r="D1204" s="583"/>
      <c r="E1204" s="513" t="s">
        <v>4084</v>
      </c>
      <c r="F1204" s="540" t="s">
        <v>4168</v>
      </c>
      <c r="G1204" s="513" t="s">
        <v>4092</v>
      </c>
      <c r="H1204" s="584" t="s">
        <v>18</v>
      </c>
      <c r="I1204" s="515" t="s">
        <v>4079</v>
      </c>
      <c r="J1204" s="513" t="s">
        <v>4077</v>
      </c>
      <c r="K1204" s="516">
        <v>74999.990000000005</v>
      </c>
      <c r="L1204" s="580">
        <v>56.457999999999998</v>
      </c>
      <c r="M1204" s="586">
        <f t="shared" si="97"/>
        <v>1328.4209500867903</v>
      </c>
      <c r="N1204" s="587">
        <v>60</v>
      </c>
      <c r="O1204" s="563">
        <f t="shared" si="94"/>
        <v>1249.9998333333335</v>
      </c>
      <c r="P1204" s="544">
        <f t="shared" ca="1" si="95"/>
        <v>30</v>
      </c>
      <c r="Q1204" s="552">
        <f t="shared" ca="1" si="93"/>
        <v>37499.995000000003</v>
      </c>
      <c r="R1204" s="563">
        <f t="shared" ca="1" si="96"/>
        <v>37499.995000000003</v>
      </c>
      <c r="S1204" s="513" t="s">
        <v>4212</v>
      </c>
    </row>
    <row r="1205" spans="2:19" ht="50.1" customHeight="1" x14ac:dyDescent="0.25">
      <c r="B1205" s="861">
        <v>44950</v>
      </c>
      <c r="C1205" s="583">
        <v>45112</v>
      </c>
      <c r="D1205" s="583"/>
      <c r="E1205" s="513" t="s">
        <v>4346</v>
      </c>
      <c r="F1205" s="540" t="s">
        <v>4348</v>
      </c>
      <c r="G1205" s="513" t="s">
        <v>4347</v>
      </c>
      <c r="H1205" s="584" t="s">
        <v>18</v>
      </c>
      <c r="I1205" s="513" t="s">
        <v>924</v>
      </c>
      <c r="J1205" s="541" t="s">
        <v>19</v>
      </c>
      <c r="K1205" s="516">
        <v>26400.07</v>
      </c>
      <c r="L1205" s="580">
        <v>56.457999999999998</v>
      </c>
      <c r="M1205" s="586">
        <f t="shared" si="97"/>
        <v>467.60547663750043</v>
      </c>
      <c r="N1205" s="587">
        <v>60</v>
      </c>
      <c r="O1205" s="563">
        <f t="shared" si="94"/>
        <v>440.00116666666668</v>
      </c>
      <c r="P1205" s="544">
        <f t="shared" ca="1" si="95"/>
        <v>30</v>
      </c>
      <c r="Q1205" s="552">
        <f t="shared" ca="1" si="93"/>
        <v>13200.035</v>
      </c>
      <c r="R1205" s="563">
        <f t="shared" ca="1" si="96"/>
        <v>13200.035</v>
      </c>
      <c r="S1205" s="513" t="s">
        <v>4344</v>
      </c>
    </row>
    <row r="1206" spans="2:19" ht="50.1" customHeight="1" x14ac:dyDescent="0.25">
      <c r="B1206" s="861">
        <v>44950</v>
      </c>
      <c r="C1206" s="583">
        <v>45112</v>
      </c>
      <c r="D1206" s="583"/>
      <c r="E1206" s="513" t="s">
        <v>4346</v>
      </c>
      <c r="F1206" s="540" t="s">
        <v>4349</v>
      </c>
      <c r="G1206" s="513" t="s">
        <v>4350</v>
      </c>
      <c r="H1206" s="584" t="s">
        <v>18</v>
      </c>
      <c r="I1206" s="513" t="s">
        <v>924</v>
      </c>
      <c r="J1206" s="541" t="s">
        <v>19</v>
      </c>
      <c r="K1206" s="516">
        <v>25000</v>
      </c>
      <c r="L1206" s="580">
        <v>56.457999999999998</v>
      </c>
      <c r="M1206" s="586">
        <f t="shared" si="97"/>
        <v>442.80704240320239</v>
      </c>
      <c r="N1206" s="587">
        <v>60</v>
      </c>
      <c r="O1206" s="563">
        <f t="shared" si="94"/>
        <v>416.66666666666669</v>
      </c>
      <c r="P1206" s="544">
        <f t="shared" ca="1" si="95"/>
        <v>30</v>
      </c>
      <c r="Q1206" s="552">
        <f t="shared" ca="1" si="93"/>
        <v>12500</v>
      </c>
      <c r="R1206" s="563">
        <f t="shared" ca="1" si="96"/>
        <v>12500</v>
      </c>
      <c r="S1206" s="513" t="s">
        <v>4344</v>
      </c>
    </row>
    <row r="1207" spans="2:19" ht="50.1" customHeight="1" x14ac:dyDescent="0.25">
      <c r="B1207" s="861">
        <v>44950</v>
      </c>
      <c r="C1207" s="583">
        <v>45112</v>
      </c>
      <c r="D1207" s="583"/>
      <c r="E1207" s="513" t="s">
        <v>4346</v>
      </c>
      <c r="F1207" s="540" t="s">
        <v>4351</v>
      </c>
      <c r="G1207" s="513" t="s">
        <v>4352</v>
      </c>
      <c r="H1207" s="584" t="s">
        <v>18</v>
      </c>
      <c r="I1207" s="897" t="s">
        <v>924</v>
      </c>
      <c r="J1207" s="541" t="s">
        <v>19</v>
      </c>
      <c r="K1207" s="516">
        <v>12000</v>
      </c>
      <c r="L1207" s="580">
        <v>56.457999999999998</v>
      </c>
      <c r="M1207" s="586">
        <f t="shared" si="97"/>
        <v>212.54738035353714</v>
      </c>
      <c r="N1207" s="587">
        <v>60</v>
      </c>
      <c r="O1207" s="563">
        <f t="shared" si="94"/>
        <v>200</v>
      </c>
      <c r="P1207" s="544">
        <f t="shared" ca="1" si="95"/>
        <v>30</v>
      </c>
      <c r="Q1207" s="552">
        <f t="shared" ca="1" si="93"/>
        <v>6000</v>
      </c>
      <c r="R1207" s="563">
        <f t="shared" ca="1" si="96"/>
        <v>6000</v>
      </c>
      <c r="S1207" s="513" t="s">
        <v>4344</v>
      </c>
    </row>
    <row r="1208" spans="2:19" ht="50.1" customHeight="1" x14ac:dyDescent="0.25">
      <c r="B1208" s="861">
        <v>44950</v>
      </c>
      <c r="C1208" s="583">
        <v>45054</v>
      </c>
      <c r="D1208" s="583"/>
      <c r="E1208" s="513" t="s">
        <v>4084</v>
      </c>
      <c r="F1208" s="540" t="s">
        <v>4161</v>
      </c>
      <c r="G1208" s="513" t="s">
        <v>4091</v>
      </c>
      <c r="H1208" s="584" t="s">
        <v>18</v>
      </c>
      <c r="I1208" s="539" t="s">
        <v>1443</v>
      </c>
      <c r="J1208" s="513" t="s">
        <v>4080</v>
      </c>
      <c r="K1208" s="516">
        <v>22000</v>
      </c>
      <c r="L1208" s="580">
        <v>56.457999999999998</v>
      </c>
      <c r="M1208" s="586">
        <f t="shared" si="97"/>
        <v>389.6701973148181</v>
      </c>
      <c r="N1208" s="587">
        <v>60</v>
      </c>
      <c r="O1208" s="563">
        <f t="shared" si="94"/>
        <v>366.66666666666669</v>
      </c>
      <c r="P1208" s="544">
        <f t="shared" ca="1" si="95"/>
        <v>30</v>
      </c>
      <c r="Q1208" s="552">
        <f t="shared" ca="1" si="93"/>
        <v>11000</v>
      </c>
      <c r="R1208" s="563">
        <f t="shared" ca="1" si="96"/>
        <v>11000</v>
      </c>
      <c r="S1208" s="513" t="s">
        <v>4212</v>
      </c>
    </row>
    <row r="1209" spans="2:19" ht="50.1" customHeight="1" x14ac:dyDescent="0.25">
      <c r="B1209" s="861">
        <v>44950</v>
      </c>
      <c r="C1209" s="583">
        <v>45054</v>
      </c>
      <c r="D1209" s="583"/>
      <c r="E1209" s="513" t="s">
        <v>4084</v>
      </c>
      <c r="F1209" s="540" t="s">
        <v>4162</v>
      </c>
      <c r="G1209" s="513" t="s">
        <v>4091</v>
      </c>
      <c r="H1209" s="584" t="s">
        <v>18</v>
      </c>
      <c r="I1209" s="539" t="s">
        <v>1443</v>
      </c>
      <c r="J1209" s="513" t="s">
        <v>4081</v>
      </c>
      <c r="K1209" s="516">
        <v>22000</v>
      </c>
      <c r="L1209" s="580">
        <v>56.457999999999998</v>
      </c>
      <c r="M1209" s="586">
        <f t="shared" si="97"/>
        <v>389.6701973148181</v>
      </c>
      <c r="N1209" s="587">
        <v>60</v>
      </c>
      <c r="O1209" s="563">
        <f t="shared" si="94"/>
        <v>366.66666666666669</v>
      </c>
      <c r="P1209" s="544">
        <f t="shared" ca="1" si="95"/>
        <v>30</v>
      </c>
      <c r="Q1209" s="552">
        <f t="shared" ca="1" si="93"/>
        <v>11000</v>
      </c>
      <c r="R1209" s="563">
        <f t="shared" ca="1" si="96"/>
        <v>11000</v>
      </c>
      <c r="S1209" s="513" t="s">
        <v>4212</v>
      </c>
    </row>
    <row r="1210" spans="2:19" ht="50.1" customHeight="1" x14ac:dyDescent="0.25">
      <c r="B1210" s="861">
        <v>44950</v>
      </c>
      <c r="C1210" s="583">
        <v>45054</v>
      </c>
      <c r="D1210" s="583"/>
      <c r="E1210" s="513" t="s">
        <v>4084</v>
      </c>
      <c r="F1210" s="540" t="s">
        <v>4163</v>
      </c>
      <c r="G1210" s="513" t="s">
        <v>4091</v>
      </c>
      <c r="H1210" s="584" t="s">
        <v>18</v>
      </c>
      <c r="I1210" s="515" t="s">
        <v>4079</v>
      </c>
      <c r="J1210" s="515" t="s">
        <v>4077</v>
      </c>
      <c r="K1210" s="516">
        <v>22000</v>
      </c>
      <c r="L1210" s="580">
        <v>56.457999999999998</v>
      </c>
      <c r="M1210" s="586">
        <f t="shared" si="97"/>
        <v>389.6701973148181</v>
      </c>
      <c r="N1210" s="587">
        <v>60</v>
      </c>
      <c r="O1210" s="563">
        <f t="shared" si="94"/>
        <v>366.66666666666669</v>
      </c>
      <c r="P1210" s="544">
        <f t="shared" ca="1" si="95"/>
        <v>30</v>
      </c>
      <c r="Q1210" s="552">
        <f t="shared" ca="1" si="93"/>
        <v>11000</v>
      </c>
      <c r="R1210" s="563">
        <f t="shared" ca="1" si="96"/>
        <v>11000</v>
      </c>
      <c r="S1210" s="513" t="s">
        <v>4212</v>
      </c>
    </row>
    <row r="1211" spans="2:19" ht="50.1" customHeight="1" x14ac:dyDescent="0.25">
      <c r="B1211" s="861">
        <v>44950</v>
      </c>
      <c r="C1211" s="583">
        <v>45054</v>
      </c>
      <c r="D1211" s="583"/>
      <c r="E1211" s="513" t="s">
        <v>4084</v>
      </c>
      <c r="F1211" s="540" t="s">
        <v>4169</v>
      </c>
      <c r="G1211" s="541" t="s">
        <v>4093</v>
      </c>
      <c r="H1211" s="584" t="s">
        <v>18</v>
      </c>
      <c r="I1211" s="515" t="s">
        <v>1443</v>
      </c>
      <c r="J1211" s="513" t="s">
        <v>4081</v>
      </c>
      <c r="K1211" s="516">
        <v>7199.99</v>
      </c>
      <c r="L1211" s="580">
        <v>56.457999999999998</v>
      </c>
      <c r="M1211" s="586">
        <f t="shared" si="97"/>
        <v>127.52825108930533</v>
      </c>
      <c r="N1211" s="587">
        <v>60</v>
      </c>
      <c r="O1211" s="563">
        <f t="shared" si="94"/>
        <v>119.99983333333333</v>
      </c>
      <c r="P1211" s="544">
        <f t="shared" ca="1" si="95"/>
        <v>30</v>
      </c>
      <c r="Q1211" s="552">
        <f t="shared" ca="1" si="93"/>
        <v>3599.9949999999999</v>
      </c>
      <c r="R1211" s="563">
        <f t="shared" ca="1" si="96"/>
        <v>3599.9949999999999</v>
      </c>
      <c r="S1211" s="513" t="s">
        <v>4212</v>
      </c>
    </row>
    <row r="1212" spans="2:19" ht="50.1" customHeight="1" x14ac:dyDescent="0.25">
      <c r="B1212" s="861">
        <v>44950</v>
      </c>
      <c r="C1212" s="583">
        <v>45054</v>
      </c>
      <c r="D1212" s="583"/>
      <c r="E1212" s="513" t="s">
        <v>4084</v>
      </c>
      <c r="F1212" s="540" t="s">
        <v>4170</v>
      </c>
      <c r="G1212" s="541" t="s">
        <v>4093</v>
      </c>
      <c r="H1212" s="584" t="s">
        <v>18</v>
      </c>
      <c r="I1212" s="515" t="s">
        <v>4079</v>
      </c>
      <c r="J1212" s="513" t="s">
        <v>4077</v>
      </c>
      <c r="K1212" s="516">
        <v>7199.99</v>
      </c>
      <c r="L1212" s="580">
        <v>56.457999999999998</v>
      </c>
      <c r="M1212" s="586">
        <f t="shared" si="97"/>
        <v>127.52825108930533</v>
      </c>
      <c r="N1212" s="587">
        <v>60</v>
      </c>
      <c r="O1212" s="563">
        <f t="shared" si="94"/>
        <v>119.99983333333333</v>
      </c>
      <c r="P1212" s="544">
        <f t="shared" ca="1" si="95"/>
        <v>30</v>
      </c>
      <c r="Q1212" s="552">
        <f t="shared" ca="1" si="93"/>
        <v>3599.9949999999999</v>
      </c>
      <c r="R1212" s="563">
        <f t="shared" ca="1" si="96"/>
        <v>3599.9949999999999</v>
      </c>
      <c r="S1212" s="513" t="s">
        <v>4212</v>
      </c>
    </row>
    <row r="1213" spans="2:19" ht="50.1" customHeight="1" x14ac:dyDescent="0.25">
      <c r="B1213" s="861">
        <v>44950</v>
      </c>
      <c r="C1213" s="583">
        <v>45054</v>
      </c>
      <c r="D1213" s="583"/>
      <c r="E1213" s="513" t="s">
        <v>4128</v>
      </c>
      <c r="F1213" s="540" t="s">
        <v>4171</v>
      </c>
      <c r="G1213" s="541" t="s">
        <v>4093</v>
      </c>
      <c r="H1213" s="584" t="s">
        <v>18</v>
      </c>
      <c r="I1213" s="515" t="s">
        <v>4079</v>
      </c>
      <c r="J1213" s="513" t="s">
        <v>4078</v>
      </c>
      <c r="K1213" s="516">
        <v>7199.99</v>
      </c>
      <c r="L1213" s="580">
        <v>56.457999999999998</v>
      </c>
      <c r="M1213" s="586">
        <f t="shared" si="97"/>
        <v>127.52825108930533</v>
      </c>
      <c r="N1213" s="587">
        <v>60</v>
      </c>
      <c r="O1213" s="563">
        <f t="shared" si="94"/>
        <v>119.99983333333333</v>
      </c>
      <c r="P1213" s="544">
        <f t="shared" ca="1" si="95"/>
        <v>30</v>
      </c>
      <c r="Q1213" s="552">
        <f t="shared" ca="1" si="93"/>
        <v>3599.9949999999999</v>
      </c>
      <c r="R1213" s="563">
        <f t="shared" ca="1" si="96"/>
        <v>3599.9949999999999</v>
      </c>
      <c r="S1213" s="513" t="s">
        <v>4212</v>
      </c>
    </row>
    <row r="1214" spans="2:19" ht="50.1" customHeight="1" x14ac:dyDescent="0.25">
      <c r="B1214" s="861">
        <v>44950</v>
      </c>
      <c r="C1214" s="583">
        <v>45054</v>
      </c>
      <c r="D1214" s="583"/>
      <c r="E1214" s="513" t="s">
        <v>4084</v>
      </c>
      <c r="F1214" s="540" t="s">
        <v>4157</v>
      </c>
      <c r="G1214" s="513" t="s">
        <v>4090</v>
      </c>
      <c r="H1214" s="584" t="s">
        <v>18</v>
      </c>
      <c r="I1214" s="515" t="s">
        <v>1443</v>
      </c>
      <c r="J1214" s="513" t="s">
        <v>4081</v>
      </c>
      <c r="K1214" s="516">
        <v>67500</v>
      </c>
      <c r="L1214" s="580">
        <v>56.457999999999998</v>
      </c>
      <c r="M1214" s="586">
        <f t="shared" si="97"/>
        <v>1195.5790144886464</v>
      </c>
      <c r="N1214" s="587">
        <v>60</v>
      </c>
      <c r="O1214" s="563">
        <f t="shared" si="94"/>
        <v>1125</v>
      </c>
      <c r="P1214" s="544">
        <f t="shared" ca="1" si="95"/>
        <v>30</v>
      </c>
      <c r="Q1214" s="552">
        <f t="shared" ca="1" si="93"/>
        <v>33750</v>
      </c>
      <c r="R1214" s="563">
        <f t="shared" ca="1" si="96"/>
        <v>33750</v>
      </c>
      <c r="S1214" s="513" t="s">
        <v>4212</v>
      </c>
    </row>
    <row r="1215" spans="2:19" ht="50.1" customHeight="1" x14ac:dyDescent="0.25">
      <c r="B1215" s="861">
        <v>44950</v>
      </c>
      <c r="C1215" s="583">
        <v>45054</v>
      </c>
      <c r="D1215" s="583"/>
      <c r="E1215" s="513" t="s">
        <v>4084</v>
      </c>
      <c r="F1215" s="540" t="s">
        <v>4158</v>
      </c>
      <c r="G1215" s="513" t="s">
        <v>4090</v>
      </c>
      <c r="H1215" s="584" t="s">
        <v>18</v>
      </c>
      <c r="I1215" s="515" t="s">
        <v>1443</v>
      </c>
      <c r="J1215" s="513" t="s">
        <v>4081</v>
      </c>
      <c r="K1215" s="516">
        <v>67500</v>
      </c>
      <c r="L1215" s="580">
        <v>56.457999999999998</v>
      </c>
      <c r="M1215" s="586">
        <f t="shared" si="97"/>
        <v>1195.5790144886464</v>
      </c>
      <c r="N1215" s="587">
        <v>60</v>
      </c>
      <c r="O1215" s="563">
        <f t="shared" si="94"/>
        <v>1125</v>
      </c>
      <c r="P1215" s="544">
        <f t="shared" ca="1" si="95"/>
        <v>30</v>
      </c>
      <c r="Q1215" s="552">
        <f t="shared" ca="1" si="93"/>
        <v>33750</v>
      </c>
      <c r="R1215" s="563">
        <f t="shared" ca="1" si="96"/>
        <v>33750</v>
      </c>
      <c r="S1215" s="513" t="s">
        <v>4212</v>
      </c>
    </row>
    <row r="1216" spans="2:19" ht="50.1" customHeight="1" x14ac:dyDescent="0.25">
      <c r="B1216" s="861">
        <v>44950</v>
      </c>
      <c r="C1216" s="583">
        <v>45054</v>
      </c>
      <c r="D1216" s="583"/>
      <c r="E1216" s="513" t="s">
        <v>4084</v>
      </c>
      <c r="F1216" s="540" t="s">
        <v>4159</v>
      </c>
      <c r="G1216" s="513" t="s">
        <v>4090</v>
      </c>
      <c r="H1216" s="584" t="s">
        <v>18</v>
      </c>
      <c r="I1216" s="515" t="s">
        <v>1443</v>
      </c>
      <c r="J1216" s="513" t="s">
        <v>4081</v>
      </c>
      <c r="K1216" s="516">
        <v>67500</v>
      </c>
      <c r="L1216" s="580">
        <v>56.457999999999998</v>
      </c>
      <c r="M1216" s="586">
        <f t="shared" si="97"/>
        <v>1195.5790144886464</v>
      </c>
      <c r="N1216" s="587">
        <v>60</v>
      </c>
      <c r="O1216" s="563">
        <f t="shared" si="94"/>
        <v>1125</v>
      </c>
      <c r="P1216" s="544">
        <f t="shared" ca="1" si="95"/>
        <v>30</v>
      </c>
      <c r="Q1216" s="552">
        <f t="shared" ca="1" si="93"/>
        <v>33750</v>
      </c>
      <c r="R1216" s="563">
        <f t="shared" ca="1" si="96"/>
        <v>33750</v>
      </c>
      <c r="S1216" s="513" t="s">
        <v>4212</v>
      </c>
    </row>
    <row r="1217" spans="2:19" ht="50.1" customHeight="1" x14ac:dyDescent="0.25">
      <c r="B1217" s="861">
        <v>44950</v>
      </c>
      <c r="C1217" s="583">
        <v>45054</v>
      </c>
      <c r="D1217" s="583"/>
      <c r="E1217" s="513" t="s">
        <v>4084</v>
      </c>
      <c r="F1217" s="540" t="s">
        <v>4160</v>
      </c>
      <c r="G1217" s="513" t="s">
        <v>4090</v>
      </c>
      <c r="H1217" s="584" t="s">
        <v>18</v>
      </c>
      <c r="I1217" s="515" t="s">
        <v>4079</v>
      </c>
      <c r="J1217" s="513" t="s">
        <v>4077</v>
      </c>
      <c r="K1217" s="516">
        <v>67500</v>
      </c>
      <c r="L1217" s="580">
        <v>56.457999999999998</v>
      </c>
      <c r="M1217" s="586">
        <f t="shared" si="97"/>
        <v>1195.5790144886464</v>
      </c>
      <c r="N1217" s="587">
        <v>60</v>
      </c>
      <c r="O1217" s="563">
        <f t="shared" si="94"/>
        <v>1125</v>
      </c>
      <c r="P1217" s="544">
        <f t="shared" ca="1" si="95"/>
        <v>30</v>
      </c>
      <c r="Q1217" s="552">
        <f t="shared" ca="1" si="93"/>
        <v>33750</v>
      </c>
      <c r="R1217" s="563">
        <f t="shared" ca="1" si="96"/>
        <v>33750</v>
      </c>
      <c r="S1217" s="513" t="s">
        <v>4212</v>
      </c>
    </row>
    <row r="1218" spans="2:19" ht="50.1" customHeight="1" x14ac:dyDescent="0.25">
      <c r="B1218" s="861">
        <v>44950</v>
      </c>
      <c r="C1218" s="583">
        <v>45043</v>
      </c>
      <c r="D1218" s="583"/>
      <c r="E1218" s="513" t="s">
        <v>4084</v>
      </c>
      <c r="F1218" s="540" t="s">
        <v>4085</v>
      </c>
      <c r="G1218" s="515" t="s">
        <v>4086</v>
      </c>
      <c r="H1218" s="584" t="s">
        <v>18</v>
      </c>
      <c r="I1218" s="515" t="s">
        <v>1443</v>
      </c>
      <c r="J1218" s="513" t="s">
        <v>4080</v>
      </c>
      <c r="K1218" s="580">
        <v>14999.99</v>
      </c>
      <c r="L1218" s="580">
        <v>56.457999999999998</v>
      </c>
      <c r="M1218" s="586">
        <f t="shared" si="97"/>
        <v>265.68404831910448</v>
      </c>
      <c r="N1218" s="587">
        <v>60</v>
      </c>
      <c r="O1218" s="563">
        <f t="shared" si="94"/>
        <v>249.99983333333333</v>
      </c>
      <c r="P1218" s="544">
        <f t="shared" ca="1" si="95"/>
        <v>30</v>
      </c>
      <c r="Q1218" s="552">
        <f t="shared" ref="Q1218:Q1281" ca="1" si="98">IF(OR(K1218=0,N1218=0,P1218=0),0,K1218-(O1218*P1218))</f>
        <v>7499.9949999999999</v>
      </c>
      <c r="R1218" s="563">
        <f t="shared" ca="1" si="96"/>
        <v>7499.9949999999999</v>
      </c>
      <c r="S1218" s="513" t="s">
        <v>4212</v>
      </c>
    </row>
    <row r="1219" spans="2:19" ht="50.1" customHeight="1" x14ac:dyDescent="0.25">
      <c r="B1219" s="861">
        <v>44950</v>
      </c>
      <c r="C1219" s="583">
        <v>45043</v>
      </c>
      <c r="D1219" s="583"/>
      <c r="E1219" s="513" t="s">
        <v>4084</v>
      </c>
      <c r="F1219" s="540" t="s">
        <v>4129</v>
      </c>
      <c r="G1219" s="515" t="s">
        <v>4086</v>
      </c>
      <c r="H1219" s="584" t="s">
        <v>18</v>
      </c>
      <c r="I1219" s="515" t="s">
        <v>1443</v>
      </c>
      <c r="J1219" s="513" t="s">
        <v>4080</v>
      </c>
      <c r="K1219" s="580">
        <v>14999.99</v>
      </c>
      <c r="L1219" s="580">
        <v>56.457999999999998</v>
      </c>
      <c r="M1219" s="586">
        <f t="shared" si="97"/>
        <v>265.68404831910448</v>
      </c>
      <c r="N1219" s="587">
        <v>60</v>
      </c>
      <c r="O1219" s="563">
        <f t="shared" si="94"/>
        <v>249.99983333333333</v>
      </c>
      <c r="P1219" s="544">
        <f t="shared" ca="1" si="95"/>
        <v>30</v>
      </c>
      <c r="Q1219" s="552">
        <f t="shared" ca="1" si="98"/>
        <v>7499.9949999999999</v>
      </c>
      <c r="R1219" s="563">
        <f t="shared" ca="1" si="96"/>
        <v>7499.9949999999999</v>
      </c>
      <c r="S1219" s="513" t="s">
        <v>4212</v>
      </c>
    </row>
    <row r="1220" spans="2:19" ht="50.1" customHeight="1" x14ac:dyDescent="0.25">
      <c r="B1220" s="861">
        <v>44950</v>
      </c>
      <c r="C1220" s="583">
        <v>45043</v>
      </c>
      <c r="D1220" s="583"/>
      <c r="E1220" s="513" t="s">
        <v>4084</v>
      </c>
      <c r="F1220" s="540" t="s">
        <v>4130</v>
      </c>
      <c r="G1220" s="515" t="s">
        <v>4086</v>
      </c>
      <c r="H1220" s="584" t="s">
        <v>18</v>
      </c>
      <c r="I1220" s="515" t="s">
        <v>1443</v>
      </c>
      <c r="J1220" s="513" t="s">
        <v>4080</v>
      </c>
      <c r="K1220" s="580">
        <v>14999.99</v>
      </c>
      <c r="L1220" s="580">
        <v>56.457999999999998</v>
      </c>
      <c r="M1220" s="586">
        <f t="shared" si="97"/>
        <v>265.68404831910448</v>
      </c>
      <c r="N1220" s="587">
        <v>60</v>
      </c>
      <c r="O1220" s="563">
        <f t="shared" si="94"/>
        <v>249.99983333333333</v>
      </c>
      <c r="P1220" s="544">
        <f t="shared" ca="1" si="95"/>
        <v>30</v>
      </c>
      <c r="Q1220" s="552">
        <f t="shared" ca="1" si="98"/>
        <v>7499.9949999999999</v>
      </c>
      <c r="R1220" s="563">
        <f t="shared" ca="1" si="96"/>
        <v>7499.9949999999999</v>
      </c>
      <c r="S1220" s="513" t="s">
        <v>4212</v>
      </c>
    </row>
    <row r="1221" spans="2:19" ht="50.1" customHeight="1" x14ac:dyDescent="0.25">
      <c r="B1221" s="861">
        <v>44950</v>
      </c>
      <c r="C1221" s="583">
        <v>45043</v>
      </c>
      <c r="D1221" s="583"/>
      <c r="E1221" s="513" t="s">
        <v>4084</v>
      </c>
      <c r="F1221" s="540" t="s">
        <v>4131</v>
      </c>
      <c r="G1221" s="515" t="s">
        <v>4086</v>
      </c>
      <c r="H1221" s="584" t="s">
        <v>18</v>
      </c>
      <c r="I1221" s="515" t="s">
        <v>1443</v>
      </c>
      <c r="J1221" s="513" t="s">
        <v>4080</v>
      </c>
      <c r="K1221" s="580">
        <v>14999.99</v>
      </c>
      <c r="L1221" s="580">
        <v>56.457999999999998</v>
      </c>
      <c r="M1221" s="586">
        <f t="shared" si="97"/>
        <v>265.68404831910448</v>
      </c>
      <c r="N1221" s="587">
        <v>60</v>
      </c>
      <c r="O1221" s="563">
        <f t="shared" si="94"/>
        <v>249.99983333333333</v>
      </c>
      <c r="P1221" s="544">
        <f t="shared" ca="1" si="95"/>
        <v>30</v>
      </c>
      <c r="Q1221" s="552">
        <f t="shared" ca="1" si="98"/>
        <v>7499.9949999999999</v>
      </c>
      <c r="R1221" s="563">
        <f t="shared" ca="1" si="96"/>
        <v>7499.9949999999999</v>
      </c>
      <c r="S1221" s="513" t="s">
        <v>4212</v>
      </c>
    </row>
    <row r="1222" spans="2:19" ht="50.1" customHeight="1" x14ac:dyDescent="0.25">
      <c r="B1222" s="861">
        <v>44950</v>
      </c>
      <c r="C1222" s="583">
        <v>45043</v>
      </c>
      <c r="D1222" s="583"/>
      <c r="E1222" s="513" t="s">
        <v>4084</v>
      </c>
      <c r="F1222" s="540" t="s">
        <v>4132</v>
      </c>
      <c r="G1222" s="515" t="s">
        <v>4086</v>
      </c>
      <c r="H1222" s="584" t="s">
        <v>18</v>
      </c>
      <c r="I1222" s="515" t="s">
        <v>1443</v>
      </c>
      <c r="J1222" s="513" t="s">
        <v>4081</v>
      </c>
      <c r="K1222" s="580">
        <v>14999.99</v>
      </c>
      <c r="L1222" s="580">
        <v>56.457999999999998</v>
      </c>
      <c r="M1222" s="586">
        <f t="shared" si="97"/>
        <v>265.68404831910448</v>
      </c>
      <c r="N1222" s="587">
        <v>60</v>
      </c>
      <c r="O1222" s="563">
        <f t="shared" si="94"/>
        <v>249.99983333333333</v>
      </c>
      <c r="P1222" s="544">
        <f t="shared" ca="1" si="95"/>
        <v>30</v>
      </c>
      <c r="Q1222" s="552">
        <f t="shared" ca="1" si="98"/>
        <v>7499.9949999999999</v>
      </c>
      <c r="R1222" s="563">
        <f t="shared" ca="1" si="96"/>
        <v>7499.9949999999999</v>
      </c>
      <c r="S1222" s="513" t="s">
        <v>4212</v>
      </c>
    </row>
    <row r="1223" spans="2:19" ht="50.1" customHeight="1" x14ac:dyDescent="0.25">
      <c r="B1223" s="861">
        <v>44950</v>
      </c>
      <c r="C1223" s="583">
        <v>45043</v>
      </c>
      <c r="D1223" s="583"/>
      <c r="E1223" s="513" t="s">
        <v>4084</v>
      </c>
      <c r="F1223" s="540" t="s">
        <v>4133</v>
      </c>
      <c r="G1223" s="515" t="s">
        <v>4086</v>
      </c>
      <c r="H1223" s="584" t="s">
        <v>18</v>
      </c>
      <c r="I1223" s="515" t="s">
        <v>1443</v>
      </c>
      <c r="J1223" s="513" t="s">
        <v>4081</v>
      </c>
      <c r="K1223" s="580">
        <v>14999.99</v>
      </c>
      <c r="L1223" s="580">
        <v>56.457999999999998</v>
      </c>
      <c r="M1223" s="586">
        <f t="shared" si="97"/>
        <v>265.68404831910448</v>
      </c>
      <c r="N1223" s="587">
        <v>60</v>
      </c>
      <c r="O1223" s="563">
        <f t="shared" si="94"/>
        <v>249.99983333333333</v>
      </c>
      <c r="P1223" s="544">
        <f t="shared" ca="1" si="95"/>
        <v>30</v>
      </c>
      <c r="Q1223" s="552">
        <f t="shared" ca="1" si="98"/>
        <v>7499.9949999999999</v>
      </c>
      <c r="R1223" s="563">
        <f t="shared" ca="1" si="96"/>
        <v>7499.9949999999999</v>
      </c>
      <c r="S1223" s="513" t="s">
        <v>4212</v>
      </c>
    </row>
    <row r="1224" spans="2:19" ht="50.1" customHeight="1" x14ac:dyDescent="0.25">
      <c r="B1224" s="861">
        <v>44950</v>
      </c>
      <c r="C1224" s="583">
        <v>45043</v>
      </c>
      <c r="D1224" s="583"/>
      <c r="E1224" s="513" t="s">
        <v>4084</v>
      </c>
      <c r="F1224" s="540" t="s">
        <v>4134</v>
      </c>
      <c r="G1224" s="515" t="s">
        <v>4086</v>
      </c>
      <c r="H1224" s="584" t="s">
        <v>18</v>
      </c>
      <c r="I1224" s="515" t="s">
        <v>4079</v>
      </c>
      <c r="J1224" s="513" t="s">
        <v>4077</v>
      </c>
      <c r="K1224" s="580">
        <v>14999.99</v>
      </c>
      <c r="L1224" s="580">
        <v>56.457999999999998</v>
      </c>
      <c r="M1224" s="586">
        <f t="shared" si="97"/>
        <v>265.68404831910448</v>
      </c>
      <c r="N1224" s="587">
        <v>60</v>
      </c>
      <c r="O1224" s="563">
        <f t="shared" ref="O1224:O1268" si="99">IF(AND(K1224&lt;&gt;0,N1224&lt;&gt;0),K1224/N1224,0)</f>
        <v>249.99983333333333</v>
      </c>
      <c r="P1224" s="544">
        <f t="shared" ref="P1224:P1287" ca="1" si="100">IF(B1224&lt;&gt;0,(ROUND((NOW()-B1224)/30,0)),0)</f>
        <v>30</v>
      </c>
      <c r="Q1224" s="552">
        <f t="shared" ca="1" si="98"/>
        <v>7499.9949999999999</v>
      </c>
      <c r="R1224" s="563">
        <f t="shared" ref="R1224:R1287" ca="1" si="101">IF(Q1224&lt;1,1,Q1224)</f>
        <v>7499.9949999999999</v>
      </c>
      <c r="S1224" s="513" t="s">
        <v>4212</v>
      </c>
    </row>
    <row r="1225" spans="2:19" ht="50.1" customHeight="1" x14ac:dyDescent="0.25">
      <c r="B1225" s="861">
        <v>44950</v>
      </c>
      <c r="C1225" s="583">
        <v>45043</v>
      </c>
      <c r="D1225" s="583"/>
      <c r="E1225" s="513" t="s">
        <v>4084</v>
      </c>
      <c r="F1225" s="540" t="s">
        <v>4135</v>
      </c>
      <c r="G1225" s="515" t="s">
        <v>4086</v>
      </c>
      <c r="H1225" s="584" t="s">
        <v>18</v>
      </c>
      <c r="I1225" s="515" t="s">
        <v>4079</v>
      </c>
      <c r="J1225" s="513" t="s">
        <v>4077</v>
      </c>
      <c r="K1225" s="580">
        <v>14999.99</v>
      </c>
      <c r="L1225" s="580">
        <v>56.457999999999998</v>
      </c>
      <c r="M1225" s="586">
        <f t="shared" si="97"/>
        <v>265.68404831910448</v>
      </c>
      <c r="N1225" s="587">
        <v>60</v>
      </c>
      <c r="O1225" s="563">
        <f t="shared" si="99"/>
        <v>249.99983333333333</v>
      </c>
      <c r="P1225" s="544">
        <f t="shared" ca="1" si="100"/>
        <v>30</v>
      </c>
      <c r="Q1225" s="552">
        <f t="shared" ca="1" si="98"/>
        <v>7499.9949999999999</v>
      </c>
      <c r="R1225" s="563">
        <f t="shared" ca="1" si="101"/>
        <v>7499.9949999999999</v>
      </c>
      <c r="S1225" s="513" t="s">
        <v>4212</v>
      </c>
    </row>
    <row r="1226" spans="2:19" ht="50.1" customHeight="1" x14ac:dyDescent="0.25">
      <c r="B1226" s="861">
        <v>44950</v>
      </c>
      <c r="C1226" s="583">
        <v>45054</v>
      </c>
      <c r="D1226" s="583"/>
      <c r="E1226" s="513" t="s">
        <v>4084</v>
      </c>
      <c r="F1226" s="540" t="s">
        <v>4151</v>
      </c>
      <c r="G1226" s="513" t="s">
        <v>4089</v>
      </c>
      <c r="H1226" s="584" t="s">
        <v>18</v>
      </c>
      <c r="I1226" s="515" t="s">
        <v>1443</v>
      </c>
      <c r="J1226" s="513" t="s">
        <v>4080</v>
      </c>
      <c r="K1226" s="516">
        <v>65000</v>
      </c>
      <c r="L1226" s="580">
        <v>56.457999999999998</v>
      </c>
      <c r="M1226" s="586">
        <f t="shared" si="97"/>
        <v>1151.2983102483263</v>
      </c>
      <c r="N1226" s="587">
        <v>60</v>
      </c>
      <c r="O1226" s="563">
        <f t="shared" si="99"/>
        <v>1083.3333333333333</v>
      </c>
      <c r="P1226" s="544">
        <f t="shared" ca="1" si="100"/>
        <v>30</v>
      </c>
      <c r="Q1226" s="552">
        <f t="shared" ca="1" si="98"/>
        <v>32500.000000000004</v>
      </c>
      <c r="R1226" s="563">
        <f t="shared" ca="1" si="101"/>
        <v>32500.000000000004</v>
      </c>
      <c r="S1226" s="513" t="s">
        <v>4212</v>
      </c>
    </row>
    <row r="1227" spans="2:19" ht="50.1" customHeight="1" x14ac:dyDescent="0.25">
      <c r="B1227" s="861">
        <v>44950</v>
      </c>
      <c r="C1227" s="583">
        <v>45054</v>
      </c>
      <c r="D1227" s="583"/>
      <c r="E1227" s="513" t="s">
        <v>4084</v>
      </c>
      <c r="F1227" s="540" t="s">
        <v>4152</v>
      </c>
      <c r="G1227" s="513" t="s">
        <v>4089</v>
      </c>
      <c r="H1227" s="584" t="s">
        <v>18</v>
      </c>
      <c r="I1227" s="515" t="s">
        <v>1443</v>
      </c>
      <c r="J1227" s="513" t="s">
        <v>4081</v>
      </c>
      <c r="K1227" s="516">
        <v>65000</v>
      </c>
      <c r="L1227" s="580">
        <v>56.457999999999998</v>
      </c>
      <c r="M1227" s="586">
        <f t="shared" si="97"/>
        <v>1151.2983102483263</v>
      </c>
      <c r="N1227" s="587">
        <v>60</v>
      </c>
      <c r="O1227" s="563">
        <f t="shared" si="99"/>
        <v>1083.3333333333333</v>
      </c>
      <c r="P1227" s="544">
        <f t="shared" ca="1" si="100"/>
        <v>30</v>
      </c>
      <c r="Q1227" s="552">
        <f t="shared" ca="1" si="98"/>
        <v>32500.000000000004</v>
      </c>
      <c r="R1227" s="563">
        <f t="shared" ca="1" si="101"/>
        <v>32500.000000000004</v>
      </c>
      <c r="S1227" s="513" t="s">
        <v>4212</v>
      </c>
    </row>
    <row r="1228" spans="2:19" ht="50.1" customHeight="1" x14ac:dyDescent="0.25">
      <c r="B1228" s="861">
        <v>44950</v>
      </c>
      <c r="C1228" s="583">
        <v>45054</v>
      </c>
      <c r="D1228" s="583"/>
      <c r="E1228" s="513" t="s">
        <v>4084</v>
      </c>
      <c r="F1228" s="540" t="s">
        <v>4153</v>
      </c>
      <c r="G1228" s="513" t="s">
        <v>4089</v>
      </c>
      <c r="H1228" s="584" t="s">
        <v>18</v>
      </c>
      <c r="I1228" s="515" t="s">
        <v>1443</v>
      </c>
      <c r="J1228" s="513" t="s">
        <v>4081</v>
      </c>
      <c r="K1228" s="516">
        <v>65000</v>
      </c>
      <c r="L1228" s="580">
        <v>56.457999999999998</v>
      </c>
      <c r="M1228" s="586">
        <f t="shared" si="97"/>
        <v>1151.2983102483263</v>
      </c>
      <c r="N1228" s="587">
        <v>60</v>
      </c>
      <c r="O1228" s="563">
        <f t="shared" si="99"/>
        <v>1083.3333333333333</v>
      </c>
      <c r="P1228" s="544">
        <f t="shared" ca="1" si="100"/>
        <v>30</v>
      </c>
      <c r="Q1228" s="552">
        <f t="shared" ca="1" si="98"/>
        <v>32500.000000000004</v>
      </c>
      <c r="R1228" s="563">
        <f t="shared" ca="1" si="101"/>
        <v>32500.000000000004</v>
      </c>
      <c r="S1228" s="513" t="s">
        <v>4212</v>
      </c>
    </row>
    <row r="1229" spans="2:19" ht="50.1" customHeight="1" x14ac:dyDescent="0.25">
      <c r="B1229" s="861">
        <v>44950</v>
      </c>
      <c r="C1229" s="583">
        <v>45054</v>
      </c>
      <c r="D1229" s="583"/>
      <c r="E1229" s="513" t="s">
        <v>4084</v>
      </c>
      <c r="F1229" s="540" t="s">
        <v>4154</v>
      </c>
      <c r="G1229" s="513" t="s">
        <v>4089</v>
      </c>
      <c r="H1229" s="584" t="s">
        <v>18</v>
      </c>
      <c r="I1229" s="515" t="s">
        <v>1443</v>
      </c>
      <c r="J1229" s="513" t="s">
        <v>4081</v>
      </c>
      <c r="K1229" s="516">
        <v>65000</v>
      </c>
      <c r="L1229" s="580">
        <v>56.457999999999998</v>
      </c>
      <c r="M1229" s="586">
        <f t="shared" si="97"/>
        <v>1151.2983102483263</v>
      </c>
      <c r="N1229" s="587">
        <v>60</v>
      </c>
      <c r="O1229" s="563">
        <f t="shared" si="99"/>
        <v>1083.3333333333333</v>
      </c>
      <c r="P1229" s="544">
        <f t="shared" ca="1" si="100"/>
        <v>30</v>
      </c>
      <c r="Q1229" s="552">
        <f t="shared" ca="1" si="98"/>
        <v>32500.000000000004</v>
      </c>
      <c r="R1229" s="563">
        <f t="shared" ca="1" si="101"/>
        <v>32500.000000000004</v>
      </c>
      <c r="S1229" s="513" t="s">
        <v>4212</v>
      </c>
    </row>
    <row r="1230" spans="2:19" ht="50.1" customHeight="1" x14ac:dyDescent="0.25">
      <c r="B1230" s="861">
        <v>44950</v>
      </c>
      <c r="C1230" s="583">
        <v>45054</v>
      </c>
      <c r="D1230" s="583"/>
      <c r="E1230" s="513" t="s">
        <v>4084</v>
      </c>
      <c r="F1230" s="540" t="s">
        <v>4155</v>
      </c>
      <c r="G1230" s="513" t="s">
        <v>4089</v>
      </c>
      <c r="H1230" s="584" t="s">
        <v>18</v>
      </c>
      <c r="I1230" s="515" t="s">
        <v>1443</v>
      </c>
      <c r="J1230" s="513" t="s">
        <v>4081</v>
      </c>
      <c r="K1230" s="516">
        <v>65000</v>
      </c>
      <c r="L1230" s="580">
        <v>56.457999999999998</v>
      </c>
      <c r="M1230" s="586">
        <f t="shared" ref="M1230:M1293" si="102">+K1230/L1230</f>
        <v>1151.2983102483263</v>
      </c>
      <c r="N1230" s="587">
        <v>60</v>
      </c>
      <c r="O1230" s="563">
        <f t="shared" si="99"/>
        <v>1083.3333333333333</v>
      </c>
      <c r="P1230" s="544">
        <f t="shared" ca="1" si="100"/>
        <v>30</v>
      </c>
      <c r="Q1230" s="552">
        <f t="shared" ca="1" si="98"/>
        <v>32500.000000000004</v>
      </c>
      <c r="R1230" s="563">
        <f t="shared" ca="1" si="101"/>
        <v>32500.000000000004</v>
      </c>
      <c r="S1230" s="513" t="s">
        <v>4212</v>
      </c>
    </row>
    <row r="1231" spans="2:19" ht="50.1" customHeight="1" x14ac:dyDescent="0.25">
      <c r="B1231" s="861">
        <v>44950</v>
      </c>
      <c r="C1231" s="583">
        <v>45054</v>
      </c>
      <c r="D1231" s="583"/>
      <c r="E1231" s="513" t="s">
        <v>4084</v>
      </c>
      <c r="F1231" s="540" t="s">
        <v>4156</v>
      </c>
      <c r="G1231" s="513" t="s">
        <v>4089</v>
      </c>
      <c r="H1231" s="584" t="s">
        <v>18</v>
      </c>
      <c r="I1231" s="515" t="s">
        <v>4079</v>
      </c>
      <c r="J1231" s="513" t="s">
        <v>4077</v>
      </c>
      <c r="K1231" s="516">
        <v>65000</v>
      </c>
      <c r="L1231" s="580">
        <v>56.457999999999998</v>
      </c>
      <c r="M1231" s="586">
        <f t="shared" si="102"/>
        <v>1151.2983102483263</v>
      </c>
      <c r="N1231" s="587">
        <v>60</v>
      </c>
      <c r="O1231" s="563">
        <f t="shared" si="99"/>
        <v>1083.3333333333333</v>
      </c>
      <c r="P1231" s="544">
        <f t="shared" ca="1" si="100"/>
        <v>30</v>
      </c>
      <c r="Q1231" s="552">
        <f t="shared" ca="1" si="98"/>
        <v>32500.000000000004</v>
      </c>
      <c r="R1231" s="563">
        <f t="shared" ca="1" si="101"/>
        <v>32500.000000000004</v>
      </c>
      <c r="S1231" s="513" t="s">
        <v>4212</v>
      </c>
    </row>
    <row r="1232" spans="2:19" ht="50.1" customHeight="1" x14ac:dyDescent="0.25">
      <c r="B1232" s="861">
        <v>44950</v>
      </c>
      <c r="C1232" s="583">
        <v>45054</v>
      </c>
      <c r="D1232" s="583"/>
      <c r="E1232" s="513" t="s">
        <v>4084</v>
      </c>
      <c r="F1232" s="540" t="s">
        <v>4136</v>
      </c>
      <c r="G1232" s="513" t="s">
        <v>4087</v>
      </c>
      <c r="H1232" s="584" t="s">
        <v>18</v>
      </c>
      <c r="I1232" s="515" t="s">
        <v>1443</v>
      </c>
      <c r="J1232" s="513" t="s">
        <v>4080</v>
      </c>
      <c r="K1232" s="516">
        <v>13500</v>
      </c>
      <c r="L1232" s="580">
        <v>56.457999999999998</v>
      </c>
      <c r="M1232" s="586">
        <f t="shared" si="102"/>
        <v>239.11580289772928</v>
      </c>
      <c r="N1232" s="587">
        <v>60</v>
      </c>
      <c r="O1232" s="563">
        <f t="shared" si="99"/>
        <v>225</v>
      </c>
      <c r="P1232" s="544">
        <f t="shared" ca="1" si="100"/>
        <v>30</v>
      </c>
      <c r="Q1232" s="552">
        <f t="shared" ca="1" si="98"/>
        <v>6750</v>
      </c>
      <c r="R1232" s="563">
        <f t="shared" ca="1" si="101"/>
        <v>6750</v>
      </c>
      <c r="S1232" s="513" t="s">
        <v>4212</v>
      </c>
    </row>
    <row r="1233" spans="2:19" ht="50.1" customHeight="1" x14ac:dyDescent="0.25">
      <c r="B1233" s="861">
        <v>44950</v>
      </c>
      <c r="C1233" s="583">
        <v>45054</v>
      </c>
      <c r="D1233" s="583"/>
      <c r="E1233" s="513" t="s">
        <v>4084</v>
      </c>
      <c r="F1233" s="540" t="s">
        <v>4137</v>
      </c>
      <c r="G1233" s="513" t="s">
        <v>4087</v>
      </c>
      <c r="H1233" s="584" t="s">
        <v>18</v>
      </c>
      <c r="I1233" s="515" t="s">
        <v>1443</v>
      </c>
      <c r="J1233" s="513" t="s">
        <v>4080</v>
      </c>
      <c r="K1233" s="516">
        <v>13500</v>
      </c>
      <c r="L1233" s="580">
        <v>56.457999999999998</v>
      </c>
      <c r="M1233" s="586">
        <f t="shared" si="102"/>
        <v>239.11580289772928</v>
      </c>
      <c r="N1233" s="587">
        <v>60</v>
      </c>
      <c r="O1233" s="563">
        <f t="shared" si="99"/>
        <v>225</v>
      </c>
      <c r="P1233" s="544">
        <f t="shared" ca="1" si="100"/>
        <v>30</v>
      </c>
      <c r="Q1233" s="552">
        <f t="shared" ca="1" si="98"/>
        <v>6750</v>
      </c>
      <c r="R1233" s="563">
        <f t="shared" ca="1" si="101"/>
        <v>6750</v>
      </c>
      <c r="S1233" s="513" t="s">
        <v>4212</v>
      </c>
    </row>
    <row r="1234" spans="2:19" ht="50.1" customHeight="1" x14ac:dyDescent="0.25">
      <c r="B1234" s="861">
        <v>44950</v>
      </c>
      <c r="C1234" s="583">
        <v>45054</v>
      </c>
      <c r="D1234" s="583"/>
      <c r="E1234" s="513" t="s">
        <v>4084</v>
      </c>
      <c r="F1234" s="540" t="s">
        <v>4138</v>
      </c>
      <c r="G1234" s="513" t="s">
        <v>4087</v>
      </c>
      <c r="H1234" s="584" t="s">
        <v>18</v>
      </c>
      <c r="I1234" s="515" t="s">
        <v>1443</v>
      </c>
      <c r="J1234" s="513" t="s">
        <v>4080</v>
      </c>
      <c r="K1234" s="516">
        <v>13500</v>
      </c>
      <c r="L1234" s="580">
        <v>56.457999999999998</v>
      </c>
      <c r="M1234" s="586">
        <f t="shared" si="102"/>
        <v>239.11580289772928</v>
      </c>
      <c r="N1234" s="587">
        <v>60</v>
      </c>
      <c r="O1234" s="563">
        <f t="shared" si="99"/>
        <v>225</v>
      </c>
      <c r="P1234" s="544">
        <f t="shared" ca="1" si="100"/>
        <v>30</v>
      </c>
      <c r="Q1234" s="552">
        <f t="shared" ca="1" si="98"/>
        <v>6750</v>
      </c>
      <c r="R1234" s="563">
        <f t="shared" ca="1" si="101"/>
        <v>6750</v>
      </c>
      <c r="S1234" s="513" t="s">
        <v>4212</v>
      </c>
    </row>
    <row r="1235" spans="2:19" ht="50.1" customHeight="1" x14ac:dyDescent="0.25">
      <c r="B1235" s="861">
        <v>44950</v>
      </c>
      <c r="C1235" s="583">
        <v>45054</v>
      </c>
      <c r="D1235" s="583"/>
      <c r="E1235" s="513" t="s">
        <v>4084</v>
      </c>
      <c r="F1235" s="540" t="s">
        <v>4139</v>
      </c>
      <c r="G1235" s="513" t="s">
        <v>4087</v>
      </c>
      <c r="H1235" s="584" t="s">
        <v>18</v>
      </c>
      <c r="I1235" s="515" t="s">
        <v>1443</v>
      </c>
      <c r="J1235" s="513" t="s">
        <v>4080</v>
      </c>
      <c r="K1235" s="516">
        <v>13500</v>
      </c>
      <c r="L1235" s="580">
        <v>56.457999999999998</v>
      </c>
      <c r="M1235" s="586">
        <f t="shared" si="102"/>
        <v>239.11580289772928</v>
      </c>
      <c r="N1235" s="587">
        <v>60</v>
      </c>
      <c r="O1235" s="563">
        <f t="shared" si="99"/>
        <v>225</v>
      </c>
      <c r="P1235" s="544">
        <f t="shared" ca="1" si="100"/>
        <v>30</v>
      </c>
      <c r="Q1235" s="552">
        <f t="shared" ca="1" si="98"/>
        <v>6750</v>
      </c>
      <c r="R1235" s="563">
        <f t="shared" ca="1" si="101"/>
        <v>6750</v>
      </c>
      <c r="S1235" s="513" t="s">
        <v>4212</v>
      </c>
    </row>
    <row r="1236" spans="2:19" ht="50.1" customHeight="1" x14ac:dyDescent="0.25">
      <c r="B1236" s="861">
        <v>44950</v>
      </c>
      <c r="C1236" s="583">
        <v>45054</v>
      </c>
      <c r="D1236" s="583"/>
      <c r="E1236" s="513" t="s">
        <v>4084</v>
      </c>
      <c r="F1236" s="540" t="s">
        <v>4140</v>
      </c>
      <c r="G1236" s="513" t="s">
        <v>4087</v>
      </c>
      <c r="H1236" s="584" t="s">
        <v>18</v>
      </c>
      <c r="I1236" s="515" t="s">
        <v>1443</v>
      </c>
      <c r="J1236" s="513" t="s">
        <v>4383</v>
      </c>
      <c r="K1236" s="516">
        <v>13500</v>
      </c>
      <c r="L1236" s="580">
        <v>56.457999999999998</v>
      </c>
      <c r="M1236" s="586">
        <f t="shared" si="102"/>
        <v>239.11580289772928</v>
      </c>
      <c r="N1236" s="587">
        <v>60</v>
      </c>
      <c r="O1236" s="563">
        <f t="shared" si="99"/>
        <v>225</v>
      </c>
      <c r="P1236" s="544">
        <f t="shared" ca="1" si="100"/>
        <v>30</v>
      </c>
      <c r="Q1236" s="552">
        <f t="shared" ca="1" si="98"/>
        <v>6750</v>
      </c>
      <c r="R1236" s="563">
        <f t="shared" ca="1" si="101"/>
        <v>6750</v>
      </c>
      <c r="S1236" s="513" t="s">
        <v>4212</v>
      </c>
    </row>
    <row r="1237" spans="2:19" ht="50.1" customHeight="1" x14ac:dyDescent="0.25">
      <c r="B1237" s="861">
        <v>44950</v>
      </c>
      <c r="C1237" s="583">
        <v>45054</v>
      </c>
      <c r="D1237" s="583"/>
      <c r="E1237" s="513" t="s">
        <v>4084</v>
      </c>
      <c r="F1237" s="540" t="s">
        <v>4141</v>
      </c>
      <c r="G1237" s="513" t="s">
        <v>4087</v>
      </c>
      <c r="H1237" s="584" t="s">
        <v>18</v>
      </c>
      <c r="I1237" s="515" t="s">
        <v>1443</v>
      </c>
      <c r="J1237" s="513" t="s">
        <v>4383</v>
      </c>
      <c r="K1237" s="516">
        <v>13500</v>
      </c>
      <c r="L1237" s="580">
        <v>56.457999999999998</v>
      </c>
      <c r="M1237" s="586">
        <f t="shared" si="102"/>
        <v>239.11580289772928</v>
      </c>
      <c r="N1237" s="587">
        <v>60</v>
      </c>
      <c r="O1237" s="563">
        <f t="shared" si="99"/>
        <v>225</v>
      </c>
      <c r="P1237" s="544">
        <f t="shared" ca="1" si="100"/>
        <v>30</v>
      </c>
      <c r="Q1237" s="552">
        <f t="shared" ca="1" si="98"/>
        <v>6750</v>
      </c>
      <c r="R1237" s="563">
        <f t="shared" ca="1" si="101"/>
        <v>6750</v>
      </c>
      <c r="S1237" s="513" t="s">
        <v>4212</v>
      </c>
    </row>
    <row r="1238" spans="2:19" ht="50.1" customHeight="1" x14ac:dyDescent="0.25">
      <c r="B1238" s="861">
        <v>44950</v>
      </c>
      <c r="C1238" s="583">
        <v>45054</v>
      </c>
      <c r="D1238" s="583"/>
      <c r="E1238" s="513" t="s">
        <v>4084</v>
      </c>
      <c r="F1238" s="540" t="s">
        <v>4142</v>
      </c>
      <c r="G1238" s="513" t="s">
        <v>4087</v>
      </c>
      <c r="H1238" s="584" t="s">
        <v>18</v>
      </c>
      <c r="I1238" s="515" t="s">
        <v>1443</v>
      </c>
      <c r="J1238" s="513" t="s">
        <v>4383</v>
      </c>
      <c r="K1238" s="516">
        <v>13500</v>
      </c>
      <c r="L1238" s="580">
        <v>56.457999999999998</v>
      </c>
      <c r="M1238" s="586">
        <f t="shared" si="102"/>
        <v>239.11580289772928</v>
      </c>
      <c r="N1238" s="587">
        <v>60</v>
      </c>
      <c r="O1238" s="563">
        <f t="shared" si="99"/>
        <v>225</v>
      </c>
      <c r="P1238" s="544">
        <f t="shared" ca="1" si="100"/>
        <v>30</v>
      </c>
      <c r="Q1238" s="552">
        <f t="shared" ca="1" si="98"/>
        <v>6750</v>
      </c>
      <c r="R1238" s="563">
        <f t="shared" ca="1" si="101"/>
        <v>6750</v>
      </c>
      <c r="S1238" s="513" t="s">
        <v>4212</v>
      </c>
    </row>
    <row r="1239" spans="2:19" ht="50.1" customHeight="1" x14ac:dyDescent="0.25">
      <c r="B1239" s="861">
        <v>44950</v>
      </c>
      <c r="C1239" s="583">
        <v>45054</v>
      </c>
      <c r="D1239" s="583"/>
      <c r="E1239" s="513" t="s">
        <v>4084</v>
      </c>
      <c r="F1239" s="540" t="s">
        <v>4143</v>
      </c>
      <c r="G1239" s="513" t="s">
        <v>4087</v>
      </c>
      <c r="H1239" s="584" t="s">
        <v>18</v>
      </c>
      <c r="I1239" s="515" t="s">
        <v>1443</v>
      </c>
      <c r="J1239" s="513" t="s">
        <v>4081</v>
      </c>
      <c r="K1239" s="516">
        <v>13500</v>
      </c>
      <c r="L1239" s="580">
        <v>56.457999999999998</v>
      </c>
      <c r="M1239" s="586">
        <f t="shared" si="102"/>
        <v>239.11580289772928</v>
      </c>
      <c r="N1239" s="587">
        <v>60</v>
      </c>
      <c r="O1239" s="563">
        <f t="shared" si="99"/>
        <v>225</v>
      </c>
      <c r="P1239" s="544">
        <f t="shared" ca="1" si="100"/>
        <v>30</v>
      </c>
      <c r="Q1239" s="552">
        <f t="shared" ca="1" si="98"/>
        <v>6750</v>
      </c>
      <c r="R1239" s="563">
        <f t="shared" ca="1" si="101"/>
        <v>6750</v>
      </c>
      <c r="S1239" s="513" t="s">
        <v>4212</v>
      </c>
    </row>
    <row r="1240" spans="2:19" ht="50.1" customHeight="1" x14ac:dyDescent="0.25">
      <c r="B1240" s="861">
        <v>44950</v>
      </c>
      <c r="C1240" s="583">
        <v>45054</v>
      </c>
      <c r="D1240" s="583"/>
      <c r="E1240" s="513" t="s">
        <v>4084</v>
      </c>
      <c r="F1240" s="540" t="s">
        <v>4144</v>
      </c>
      <c r="G1240" s="513" t="s">
        <v>4087</v>
      </c>
      <c r="H1240" s="584" t="s">
        <v>18</v>
      </c>
      <c r="I1240" s="515" t="s">
        <v>1443</v>
      </c>
      <c r="J1240" s="513" t="s">
        <v>4081</v>
      </c>
      <c r="K1240" s="516">
        <v>13500</v>
      </c>
      <c r="L1240" s="580">
        <v>56.457999999999998</v>
      </c>
      <c r="M1240" s="586">
        <f t="shared" si="102"/>
        <v>239.11580289772928</v>
      </c>
      <c r="N1240" s="587">
        <v>60</v>
      </c>
      <c r="O1240" s="563">
        <f t="shared" si="99"/>
        <v>225</v>
      </c>
      <c r="P1240" s="544">
        <f t="shared" ca="1" si="100"/>
        <v>30</v>
      </c>
      <c r="Q1240" s="552">
        <f t="shared" ca="1" si="98"/>
        <v>6750</v>
      </c>
      <c r="R1240" s="563">
        <f t="shared" ca="1" si="101"/>
        <v>6750</v>
      </c>
      <c r="S1240" s="513" t="s">
        <v>4212</v>
      </c>
    </row>
    <row r="1241" spans="2:19" ht="50.1" customHeight="1" x14ac:dyDescent="0.25">
      <c r="B1241" s="861">
        <v>44950</v>
      </c>
      <c r="C1241" s="583">
        <v>45054</v>
      </c>
      <c r="D1241" s="583"/>
      <c r="E1241" s="513" t="s">
        <v>4084</v>
      </c>
      <c r="F1241" s="540" t="s">
        <v>4145</v>
      </c>
      <c r="G1241" s="513" t="s">
        <v>4087</v>
      </c>
      <c r="H1241" s="584" t="s">
        <v>18</v>
      </c>
      <c r="I1241" s="515" t="s">
        <v>1443</v>
      </c>
      <c r="J1241" s="513" t="s">
        <v>4081</v>
      </c>
      <c r="K1241" s="516">
        <v>13500</v>
      </c>
      <c r="L1241" s="580">
        <v>56.457999999999998</v>
      </c>
      <c r="M1241" s="586">
        <f t="shared" si="102"/>
        <v>239.11580289772928</v>
      </c>
      <c r="N1241" s="587">
        <v>60</v>
      </c>
      <c r="O1241" s="563">
        <f t="shared" si="99"/>
        <v>225</v>
      </c>
      <c r="P1241" s="544">
        <f t="shared" ca="1" si="100"/>
        <v>30</v>
      </c>
      <c r="Q1241" s="552">
        <f t="shared" ca="1" si="98"/>
        <v>6750</v>
      </c>
      <c r="R1241" s="563">
        <f t="shared" ca="1" si="101"/>
        <v>6750</v>
      </c>
      <c r="S1241" s="513" t="s">
        <v>4212</v>
      </c>
    </row>
    <row r="1242" spans="2:19" ht="50.1" customHeight="1" x14ac:dyDescent="0.25">
      <c r="B1242" s="861">
        <v>44950</v>
      </c>
      <c r="C1242" s="583">
        <v>45054</v>
      </c>
      <c r="D1242" s="583"/>
      <c r="E1242" s="513" t="s">
        <v>4084</v>
      </c>
      <c r="F1242" s="540" t="s">
        <v>4146</v>
      </c>
      <c r="G1242" s="513" t="s">
        <v>4087</v>
      </c>
      <c r="H1242" s="584" t="s">
        <v>18</v>
      </c>
      <c r="I1242" s="515" t="s">
        <v>1443</v>
      </c>
      <c r="J1242" s="513" t="s">
        <v>4081</v>
      </c>
      <c r="K1242" s="516">
        <v>13500</v>
      </c>
      <c r="L1242" s="580">
        <v>56.457999999999998</v>
      </c>
      <c r="M1242" s="586">
        <f t="shared" si="102"/>
        <v>239.11580289772928</v>
      </c>
      <c r="N1242" s="587">
        <v>60</v>
      </c>
      <c r="O1242" s="563">
        <f t="shared" si="99"/>
        <v>225</v>
      </c>
      <c r="P1242" s="544">
        <f t="shared" ca="1" si="100"/>
        <v>30</v>
      </c>
      <c r="Q1242" s="552">
        <f t="shared" ca="1" si="98"/>
        <v>6750</v>
      </c>
      <c r="R1242" s="563">
        <f t="shared" ca="1" si="101"/>
        <v>6750</v>
      </c>
      <c r="S1242" s="513" t="s">
        <v>4212</v>
      </c>
    </row>
    <row r="1243" spans="2:19" ht="50.1" customHeight="1" x14ac:dyDescent="0.25">
      <c r="B1243" s="861">
        <v>44950</v>
      </c>
      <c r="C1243" s="583">
        <v>45054</v>
      </c>
      <c r="D1243" s="583"/>
      <c r="E1243" s="513" t="s">
        <v>4084</v>
      </c>
      <c r="F1243" s="540" t="s">
        <v>4147</v>
      </c>
      <c r="G1243" s="513" t="s">
        <v>4087</v>
      </c>
      <c r="H1243" s="584" t="s">
        <v>18</v>
      </c>
      <c r="I1243" s="515" t="s">
        <v>1443</v>
      </c>
      <c r="J1243" s="513" t="s">
        <v>4081</v>
      </c>
      <c r="K1243" s="516">
        <v>13500</v>
      </c>
      <c r="L1243" s="580">
        <v>56.457999999999998</v>
      </c>
      <c r="M1243" s="586">
        <f t="shared" si="102"/>
        <v>239.11580289772928</v>
      </c>
      <c r="N1243" s="587">
        <v>60</v>
      </c>
      <c r="O1243" s="563">
        <f t="shared" si="99"/>
        <v>225</v>
      </c>
      <c r="P1243" s="544">
        <f t="shared" ca="1" si="100"/>
        <v>30</v>
      </c>
      <c r="Q1243" s="552">
        <f t="shared" ca="1" si="98"/>
        <v>6750</v>
      </c>
      <c r="R1243" s="563">
        <f t="shared" ca="1" si="101"/>
        <v>6750</v>
      </c>
      <c r="S1243" s="513" t="s">
        <v>4212</v>
      </c>
    </row>
    <row r="1244" spans="2:19" ht="64.5" customHeight="1" x14ac:dyDescent="0.25">
      <c r="B1244" s="861">
        <v>44950</v>
      </c>
      <c r="C1244" s="583">
        <v>45054</v>
      </c>
      <c r="D1244" s="583"/>
      <c r="E1244" s="513" t="s">
        <v>4084</v>
      </c>
      <c r="F1244" s="540" t="s">
        <v>4148</v>
      </c>
      <c r="G1244" s="513" t="s">
        <v>4087</v>
      </c>
      <c r="H1244" s="584" t="s">
        <v>18</v>
      </c>
      <c r="I1244" s="515" t="s">
        <v>4079</v>
      </c>
      <c r="J1244" s="513" t="s">
        <v>4077</v>
      </c>
      <c r="K1244" s="516">
        <v>13500</v>
      </c>
      <c r="L1244" s="580">
        <v>56.457999999999998</v>
      </c>
      <c r="M1244" s="586">
        <f t="shared" si="102"/>
        <v>239.11580289772928</v>
      </c>
      <c r="N1244" s="587">
        <v>60</v>
      </c>
      <c r="O1244" s="563">
        <f t="shared" si="99"/>
        <v>225</v>
      </c>
      <c r="P1244" s="544">
        <f t="shared" ca="1" si="100"/>
        <v>30</v>
      </c>
      <c r="Q1244" s="552">
        <f t="shared" ca="1" si="98"/>
        <v>6750</v>
      </c>
      <c r="R1244" s="563">
        <f t="shared" ca="1" si="101"/>
        <v>6750</v>
      </c>
      <c r="S1244" s="513" t="s">
        <v>4212</v>
      </c>
    </row>
    <row r="1245" spans="2:19" ht="50.1" customHeight="1" x14ac:dyDescent="0.25">
      <c r="B1245" s="861">
        <v>44950</v>
      </c>
      <c r="C1245" s="583">
        <v>45054</v>
      </c>
      <c r="D1245" s="583"/>
      <c r="E1245" s="513" t="s">
        <v>4084</v>
      </c>
      <c r="F1245" s="540" t="s">
        <v>4149</v>
      </c>
      <c r="G1245" s="513" t="s">
        <v>4087</v>
      </c>
      <c r="H1245" s="584" t="s">
        <v>18</v>
      </c>
      <c r="I1245" s="515" t="s">
        <v>4079</v>
      </c>
      <c r="J1245" s="513" t="s">
        <v>4078</v>
      </c>
      <c r="K1245" s="516">
        <v>13500</v>
      </c>
      <c r="L1245" s="580">
        <v>56.457999999999998</v>
      </c>
      <c r="M1245" s="586">
        <f t="shared" si="102"/>
        <v>239.11580289772928</v>
      </c>
      <c r="N1245" s="587">
        <v>60</v>
      </c>
      <c r="O1245" s="563">
        <f t="shared" si="99"/>
        <v>225</v>
      </c>
      <c r="P1245" s="544">
        <f t="shared" ca="1" si="100"/>
        <v>30</v>
      </c>
      <c r="Q1245" s="552">
        <f t="shared" ca="1" si="98"/>
        <v>6750</v>
      </c>
      <c r="R1245" s="563">
        <f t="shared" ca="1" si="101"/>
        <v>6750</v>
      </c>
      <c r="S1245" s="513" t="s">
        <v>4212</v>
      </c>
    </row>
    <row r="1246" spans="2:19" ht="50.1" customHeight="1" x14ac:dyDescent="0.25">
      <c r="B1246" s="861">
        <v>44950</v>
      </c>
      <c r="C1246" s="583">
        <v>45054</v>
      </c>
      <c r="D1246" s="583"/>
      <c r="E1246" s="513" t="s">
        <v>4084</v>
      </c>
      <c r="F1246" s="540" t="s">
        <v>4150</v>
      </c>
      <c r="G1246" s="513" t="s">
        <v>4087</v>
      </c>
      <c r="H1246" s="584" t="s">
        <v>18</v>
      </c>
      <c r="I1246" s="515" t="s">
        <v>4079</v>
      </c>
      <c r="J1246" s="513" t="s">
        <v>4078</v>
      </c>
      <c r="K1246" s="516">
        <v>13500</v>
      </c>
      <c r="L1246" s="580">
        <v>56.457999999999998</v>
      </c>
      <c r="M1246" s="586">
        <f t="shared" si="102"/>
        <v>239.11580289772928</v>
      </c>
      <c r="N1246" s="587">
        <v>60</v>
      </c>
      <c r="O1246" s="563">
        <f t="shared" si="99"/>
        <v>225</v>
      </c>
      <c r="P1246" s="544">
        <f t="shared" ca="1" si="100"/>
        <v>30</v>
      </c>
      <c r="Q1246" s="552">
        <f t="shared" ca="1" si="98"/>
        <v>6750</v>
      </c>
      <c r="R1246" s="563">
        <f t="shared" ca="1" si="101"/>
        <v>6750</v>
      </c>
      <c r="S1246" s="513" t="s">
        <v>4212</v>
      </c>
    </row>
    <row r="1247" spans="2:19" ht="50.1" customHeight="1" x14ac:dyDescent="0.25">
      <c r="B1247" s="861">
        <v>44958</v>
      </c>
      <c r="C1247" s="583">
        <v>45083</v>
      </c>
      <c r="D1247" s="583"/>
      <c r="E1247" s="513" t="s">
        <v>4243</v>
      </c>
      <c r="F1247" s="540" t="s">
        <v>4176</v>
      </c>
      <c r="G1247" s="513" t="s">
        <v>4244</v>
      </c>
      <c r="H1247" s="542" t="s">
        <v>4246</v>
      </c>
      <c r="I1247" s="513" t="s">
        <v>4377</v>
      </c>
      <c r="J1247" s="541" t="s">
        <v>4247</v>
      </c>
      <c r="K1247" s="516">
        <v>371146.87</v>
      </c>
      <c r="L1247" s="543">
        <v>56.390900000000002</v>
      </c>
      <c r="M1247" s="586">
        <f t="shared" si="102"/>
        <v>6581.6802001741416</v>
      </c>
      <c r="N1247" s="587">
        <v>60</v>
      </c>
      <c r="O1247" s="563">
        <f t="shared" si="99"/>
        <v>6185.7811666666666</v>
      </c>
      <c r="P1247" s="544">
        <f t="shared" ca="1" si="100"/>
        <v>30</v>
      </c>
      <c r="Q1247" s="552">
        <f t="shared" ca="1" si="98"/>
        <v>185573.435</v>
      </c>
      <c r="R1247" s="563">
        <f t="shared" ca="1" si="101"/>
        <v>185573.435</v>
      </c>
      <c r="S1247" s="513" t="s">
        <v>4253</v>
      </c>
    </row>
    <row r="1248" spans="2:19" ht="50.1" customHeight="1" x14ac:dyDescent="0.25">
      <c r="B1248" s="861">
        <v>44958</v>
      </c>
      <c r="C1248" s="583">
        <v>45083</v>
      </c>
      <c r="D1248" s="583"/>
      <c r="E1248" s="513" t="s">
        <v>4243</v>
      </c>
      <c r="F1248" s="540" t="s">
        <v>4177</v>
      </c>
      <c r="G1248" s="513" t="s">
        <v>4244</v>
      </c>
      <c r="H1248" s="542" t="s">
        <v>4245</v>
      </c>
      <c r="I1248" s="513" t="s">
        <v>4249</v>
      </c>
      <c r="J1248" s="513" t="s">
        <v>4248</v>
      </c>
      <c r="K1248" s="516">
        <v>371146.88</v>
      </c>
      <c r="L1248" s="543">
        <v>56.390900000000002</v>
      </c>
      <c r="M1248" s="586">
        <f t="shared" si="102"/>
        <v>6581.6803775077187</v>
      </c>
      <c r="N1248" s="587">
        <v>60</v>
      </c>
      <c r="O1248" s="563">
        <f t="shared" si="99"/>
        <v>6185.7813333333334</v>
      </c>
      <c r="P1248" s="544">
        <f t="shared" ca="1" si="100"/>
        <v>30</v>
      </c>
      <c r="Q1248" s="552">
        <f t="shared" ca="1" si="98"/>
        <v>185573.44</v>
      </c>
      <c r="R1248" s="563">
        <f t="shared" ca="1" si="101"/>
        <v>185573.44</v>
      </c>
      <c r="S1248" s="513" t="s">
        <v>4253</v>
      </c>
    </row>
    <row r="1249" spans="2:19" ht="68.25" customHeight="1" x14ac:dyDescent="0.25">
      <c r="B1249" s="861">
        <v>44963</v>
      </c>
      <c r="C1249" s="583">
        <v>45054</v>
      </c>
      <c r="D1249" s="583"/>
      <c r="E1249" s="548" t="s">
        <v>4214</v>
      </c>
      <c r="F1249" s="513" t="s">
        <v>4215</v>
      </c>
      <c r="G1249" s="513" t="s">
        <v>4220</v>
      </c>
      <c r="H1249" s="513" t="s">
        <v>4410</v>
      </c>
      <c r="I1249" s="513" t="s">
        <v>4261</v>
      </c>
      <c r="J1249" s="513" t="s">
        <v>4259</v>
      </c>
      <c r="K1249" s="516">
        <v>1595943</v>
      </c>
      <c r="L1249" s="543">
        <v>56.063699999999997</v>
      </c>
      <c r="M1249" s="586">
        <f t="shared" si="102"/>
        <v>28466.601383783091</v>
      </c>
      <c r="N1249" s="587">
        <v>60</v>
      </c>
      <c r="O1249" s="563">
        <f t="shared" si="99"/>
        <v>26599.05</v>
      </c>
      <c r="P1249" s="544">
        <f t="shared" ca="1" si="100"/>
        <v>30</v>
      </c>
      <c r="Q1249" s="552">
        <f t="shared" ca="1" si="98"/>
        <v>797971.5</v>
      </c>
      <c r="R1249" s="563">
        <f t="shared" ca="1" si="101"/>
        <v>797971.5</v>
      </c>
      <c r="S1249" s="513" t="s">
        <v>4252</v>
      </c>
    </row>
    <row r="1250" spans="2:19" ht="75.75" customHeight="1" x14ac:dyDescent="0.25">
      <c r="B1250" s="861">
        <v>44963</v>
      </c>
      <c r="C1250" s="583">
        <v>45054</v>
      </c>
      <c r="D1250" s="583"/>
      <c r="E1250" s="548" t="s">
        <v>4214</v>
      </c>
      <c r="F1250" s="513" t="s">
        <v>4216</v>
      </c>
      <c r="G1250" s="513" t="s">
        <v>4220</v>
      </c>
      <c r="H1250" s="513" t="s">
        <v>4411</v>
      </c>
      <c r="I1250" s="513" t="s">
        <v>4376</v>
      </c>
      <c r="J1250" s="513" t="s">
        <v>4071</v>
      </c>
      <c r="K1250" s="516">
        <v>1595943</v>
      </c>
      <c r="L1250" s="543">
        <v>56.063699999999997</v>
      </c>
      <c r="M1250" s="586">
        <f t="shared" si="102"/>
        <v>28466.601383783091</v>
      </c>
      <c r="N1250" s="587">
        <v>60</v>
      </c>
      <c r="O1250" s="563">
        <f t="shared" si="99"/>
        <v>26599.05</v>
      </c>
      <c r="P1250" s="544">
        <f t="shared" ca="1" si="100"/>
        <v>30</v>
      </c>
      <c r="Q1250" s="552">
        <f t="shared" ca="1" si="98"/>
        <v>797971.5</v>
      </c>
      <c r="R1250" s="563">
        <f t="shared" ca="1" si="101"/>
        <v>797971.5</v>
      </c>
      <c r="S1250" s="513" t="s">
        <v>4252</v>
      </c>
    </row>
    <row r="1251" spans="2:19" ht="62.25" customHeight="1" x14ac:dyDescent="0.25">
      <c r="B1251" s="861">
        <v>44963</v>
      </c>
      <c r="C1251" s="583">
        <v>45054</v>
      </c>
      <c r="D1251" s="583"/>
      <c r="E1251" s="548" t="s">
        <v>4214</v>
      </c>
      <c r="F1251" s="513" t="s">
        <v>4217</v>
      </c>
      <c r="G1251" s="513" t="s">
        <v>4220</v>
      </c>
      <c r="H1251" s="513" t="s">
        <v>4412</v>
      </c>
      <c r="I1251" s="513" t="s">
        <v>4072</v>
      </c>
      <c r="J1251" s="513" t="s">
        <v>4070</v>
      </c>
      <c r="K1251" s="516">
        <v>1595943</v>
      </c>
      <c r="L1251" s="543">
        <v>56.063699999999997</v>
      </c>
      <c r="M1251" s="586">
        <f t="shared" si="102"/>
        <v>28466.601383783091</v>
      </c>
      <c r="N1251" s="587">
        <v>60</v>
      </c>
      <c r="O1251" s="563">
        <f t="shared" si="99"/>
        <v>26599.05</v>
      </c>
      <c r="P1251" s="544">
        <f t="shared" ca="1" si="100"/>
        <v>30</v>
      </c>
      <c r="Q1251" s="552">
        <f t="shared" ca="1" si="98"/>
        <v>797971.5</v>
      </c>
      <c r="R1251" s="563">
        <f t="shared" ca="1" si="101"/>
        <v>797971.5</v>
      </c>
      <c r="S1251" s="513" t="s">
        <v>4252</v>
      </c>
    </row>
    <row r="1252" spans="2:19" ht="62.25" customHeight="1" x14ac:dyDescent="0.25">
      <c r="B1252" s="861">
        <v>44963</v>
      </c>
      <c r="C1252" s="583">
        <v>45054</v>
      </c>
      <c r="D1252" s="583"/>
      <c r="E1252" s="548" t="s">
        <v>4214</v>
      </c>
      <c r="F1252" s="513" t="s">
        <v>4218</v>
      </c>
      <c r="G1252" s="513" t="s">
        <v>4220</v>
      </c>
      <c r="H1252" s="513" t="s">
        <v>4413</v>
      </c>
      <c r="I1252" s="548" t="s">
        <v>4389</v>
      </c>
      <c r="J1252" s="513" t="s">
        <v>4065</v>
      </c>
      <c r="K1252" s="516">
        <v>1595943</v>
      </c>
      <c r="L1252" s="543">
        <v>56.063699999999997</v>
      </c>
      <c r="M1252" s="586">
        <f t="shared" si="102"/>
        <v>28466.601383783091</v>
      </c>
      <c r="N1252" s="587">
        <v>60</v>
      </c>
      <c r="O1252" s="563">
        <f t="shared" si="99"/>
        <v>26599.05</v>
      </c>
      <c r="P1252" s="544">
        <f t="shared" ca="1" si="100"/>
        <v>30</v>
      </c>
      <c r="Q1252" s="552">
        <f t="shared" ca="1" si="98"/>
        <v>797971.5</v>
      </c>
      <c r="R1252" s="563">
        <f t="shared" ca="1" si="101"/>
        <v>797971.5</v>
      </c>
      <c r="S1252" s="513" t="s">
        <v>4252</v>
      </c>
    </row>
    <row r="1253" spans="2:19" ht="63.75" customHeight="1" x14ac:dyDescent="0.25">
      <c r="B1253" s="861">
        <v>44963</v>
      </c>
      <c r="C1253" s="583">
        <v>45054</v>
      </c>
      <c r="D1253" s="583"/>
      <c r="E1253" s="548" t="s">
        <v>4214</v>
      </c>
      <c r="F1253" s="513" t="s">
        <v>4219</v>
      </c>
      <c r="G1253" s="513" t="s">
        <v>4220</v>
      </c>
      <c r="H1253" s="513" t="s">
        <v>4414</v>
      </c>
      <c r="I1253" s="513" t="s">
        <v>4378</v>
      </c>
      <c r="J1253" s="513" t="s">
        <v>4260</v>
      </c>
      <c r="K1253" s="516">
        <v>1595942.99</v>
      </c>
      <c r="L1253" s="543">
        <v>56.063699999999997</v>
      </c>
      <c r="M1253" s="586">
        <f t="shared" si="102"/>
        <v>28466.601205414558</v>
      </c>
      <c r="N1253" s="587">
        <v>60</v>
      </c>
      <c r="O1253" s="563">
        <f t="shared" si="99"/>
        <v>26599.049833333334</v>
      </c>
      <c r="P1253" s="544">
        <f t="shared" ca="1" si="100"/>
        <v>30</v>
      </c>
      <c r="Q1253" s="552">
        <f t="shared" ca="1" si="98"/>
        <v>797971.495</v>
      </c>
      <c r="R1253" s="563">
        <f t="shared" ca="1" si="101"/>
        <v>797971.495</v>
      </c>
      <c r="S1253" s="513" t="s">
        <v>4252</v>
      </c>
    </row>
    <row r="1254" spans="2:19" ht="50.1" customHeight="1" x14ac:dyDescent="0.25">
      <c r="B1254" s="861">
        <v>44981</v>
      </c>
      <c r="C1254" s="583">
        <v>45083</v>
      </c>
      <c r="D1254" s="583"/>
      <c r="E1254" s="548" t="s">
        <v>4250</v>
      </c>
      <c r="F1254" s="513" t="s">
        <v>4178</v>
      </c>
      <c r="G1254" s="513" t="s">
        <v>4244</v>
      </c>
      <c r="H1254" s="541" t="s">
        <v>4251</v>
      </c>
      <c r="I1254" s="513" t="s">
        <v>4249</v>
      </c>
      <c r="J1254" s="513" t="s">
        <v>19</v>
      </c>
      <c r="K1254" s="516">
        <v>355806.875</v>
      </c>
      <c r="L1254" s="543">
        <v>55.364600000000003</v>
      </c>
      <c r="M1254" s="586">
        <f t="shared" si="102"/>
        <v>6426.6133052528148</v>
      </c>
      <c r="N1254" s="587">
        <v>60</v>
      </c>
      <c r="O1254" s="563">
        <f t="shared" si="99"/>
        <v>5930.114583333333</v>
      </c>
      <c r="P1254" s="544">
        <f t="shared" ca="1" si="100"/>
        <v>29</v>
      </c>
      <c r="Q1254" s="552">
        <f t="shared" ca="1" si="98"/>
        <v>183833.55208333334</v>
      </c>
      <c r="R1254" s="563">
        <f t="shared" ca="1" si="101"/>
        <v>183833.55208333334</v>
      </c>
      <c r="S1254" s="513" t="s">
        <v>4253</v>
      </c>
    </row>
    <row r="1255" spans="2:19" ht="50.1" customHeight="1" thickBot="1" x14ac:dyDescent="0.3">
      <c r="B1255" s="861">
        <v>45026</v>
      </c>
      <c r="C1255" s="583">
        <v>45083</v>
      </c>
      <c r="D1255" s="583"/>
      <c r="E1255" s="548" t="s">
        <v>4254</v>
      </c>
      <c r="F1255" s="513" t="s">
        <v>4186</v>
      </c>
      <c r="G1255" s="513" t="s">
        <v>4257</v>
      </c>
      <c r="H1255" s="541" t="s">
        <v>5136</v>
      </c>
      <c r="I1255" s="901" t="s">
        <v>5510</v>
      </c>
      <c r="J1255" s="513" t="s">
        <v>19</v>
      </c>
      <c r="K1255" s="516">
        <v>37894.720000000001</v>
      </c>
      <c r="L1255" s="543">
        <v>54.688499999999998</v>
      </c>
      <c r="M1255" s="516">
        <f t="shared" si="102"/>
        <v>692.91935233184313</v>
      </c>
      <c r="N1255" s="587">
        <v>60</v>
      </c>
      <c r="O1255" s="563">
        <f t="shared" si="99"/>
        <v>631.57866666666666</v>
      </c>
      <c r="P1255" s="544">
        <f t="shared" ca="1" si="100"/>
        <v>27</v>
      </c>
      <c r="Q1255" s="552">
        <f t="shared" ca="1" si="98"/>
        <v>20842.096000000001</v>
      </c>
      <c r="R1255" s="563">
        <f t="shared" ca="1" si="101"/>
        <v>20842.096000000001</v>
      </c>
      <c r="S1255" s="513" t="s">
        <v>6020</v>
      </c>
    </row>
    <row r="1256" spans="2:19" ht="74.25" customHeight="1" thickBot="1" x14ac:dyDescent="0.3">
      <c r="B1256" s="861">
        <v>45026</v>
      </c>
      <c r="C1256" s="583">
        <v>45083</v>
      </c>
      <c r="D1256" s="583"/>
      <c r="E1256" s="548" t="s">
        <v>4254</v>
      </c>
      <c r="F1256" s="513" t="s">
        <v>4182</v>
      </c>
      <c r="G1256" s="513" t="s">
        <v>4258</v>
      </c>
      <c r="H1256" s="541" t="s">
        <v>5137</v>
      </c>
      <c r="I1256" s="901" t="s">
        <v>5140</v>
      </c>
      <c r="J1256" s="513" t="s">
        <v>19</v>
      </c>
      <c r="K1256" s="516">
        <v>20933.43</v>
      </c>
      <c r="L1256" s="543">
        <v>54.688499999999998</v>
      </c>
      <c r="M1256" s="516">
        <f t="shared" si="102"/>
        <v>382.77572067253629</v>
      </c>
      <c r="N1256" s="587">
        <v>60</v>
      </c>
      <c r="O1256" s="563">
        <f t="shared" si="99"/>
        <v>348.89050000000003</v>
      </c>
      <c r="P1256" s="544">
        <f t="shared" ca="1" si="100"/>
        <v>27</v>
      </c>
      <c r="Q1256" s="552">
        <f t="shared" ca="1" si="98"/>
        <v>11513.386499999999</v>
      </c>
      <c r="R1256" s="563">
        <f t="shared" ca="1" si="101"/>
        <v>11513.386499999999</v>
      </c>
      <c r="S1256" s="513" t="s">
        <v>6020</v>
      </c>
    </row>
    <row r="1257" spans="2:19" ht="74.25" customHeight="1" thickBot="1" x14ac:dyDescent="0.3">
      <c r="B1257" s="861">
        <v>45026</v>
      </c>
      <c r="C1257" s="583">
        <v>45083</v>
      </c>
      <c r="D1257" s="583"/>
      <c r="E1257" s="548" t="s">
        <v>4254</v>
      </c>
      <c r="F1257" s="513" t="s">
        <v>4183</v>
      </c>
      <c r="G1257" s="513" t="s">
        <v>4256</v>
      </c>
      <c r="H1257" s="541" t="s">
        <v>5125</v>
      </c>
      <c r="I1257" s="901" t="s">
        <v>5139</v>
      </c>
      <c r="J1257" s="513" t="s">
        <v>19</v>
      </c>
      <c r="K1257" s="516">
        <v>20933.43</v>
      </c>
      <c r="L1257" s="543">
        <v>54.688499999999998</v>
      </c>
      <c r="M1257" s="516">
        <f t="shared" si="102"/>
        <v>382.77572067253629</v>
      </c>
      <c r="N1257" s="587">
        <v>60</v>
      </c>
      <c r="O1257" s="563">
        <f t="shared" si="99"/>
        <v>348.89050000000003</v>
      </c>
      <c r="P1257" s="544">
        <f t="shared" ca="1" si="100"/>
        <v>27</v>
      </c>
      <c r="Q1257" s="552">
        <f t="shared" ca="1" si="98"/>
        <v>11513.386499999999</v>
      </c>
      <c r="R1257" s="563">
        <f t="shared" ca="1" si="101"/>
        <v>11513.386499999999</v>
      </c>
      <c r="S1257" s="513" t="s">
        <v>6020</v>
      </c>
    </row>
    <row r="1258" spans="2:19" ht="50.1" customHeight="1" x14ac:dyDescent="0.25">
      <c r="B1258" s="861">
        <v>45026</v>
      </c>
      <c r="C1258" s="583">
        <v>45083</v>
      </c>
      <c r="D1258" s="583"/>
      <c r="E1258" s="548" t="s">
        <v>4254</v>
      </c>
      <c r="F1258" s="513" t="s">
        <v>4184</v>
      </c>
      <c r="G1258" s="513" t="s">
        <v>4256</v>
      </c>
      <c r="H1258" s="541" t="s">
        <v>5126</v>
      </c>
      <c r="I1258" s="513" t="s">
        <v>5138</v>
      </c>
      <c r="J1258" s="513" t="s">
        <v>19</v>
      </c>
      <c r="K1258" s="516">
        <v>20933.43</v>
      </c>
      <c r="L1258" s="543">
        <v>54.688499999999998</v>
      </c>
      <c r="M1258" s="516">
        <f t="shared" si="102"/>
        <v>382.77572067253629</v>
      </c>
      <c r="N1258" s="587">
        <v>60</v>
      </c>
      <c r="O1258" s="563">
        <f t="shared" si="99"/>
        <v>348.89050000000003</v>
      </c>
      <c r="P1258" s="544">
        <f t="shared" ca="1" si="100"/>
        <v>27</v>
      </c>
      <c r="Q1258" s="552">
        <f t="shared" ca="1" si="98"/>
        <v>11513.386499999999</v>
      </c>
      <c r="R1258" s="563">
        <f t="shared" ca="1" si="101"/>
        <v>11513.386499999999</v>
      </c>
      <c r="S1258" s="513" t="s">
        <v>6020</v>
      </c>
    </row>
    <row r="1259" spans="2:19" ht="50.1" customHeight="1" x14ac:dyDescent="0.25">
      <c r="B1259" s="861">
        <v>45026</v>
      </c>
      <c r="C1259" s="583">
        <v>45083</v>
      </c>
      <c r="D1259" s="583"/>
      <c r="E1259" s="548" t="s">
        <v>4254</v>
      </c>
      <c r="F1259" s="513" t="s">
        <v>4185</v>
      </c>
      <c r="G1259" s="513" t="s">
        <v>4256</v>
      </c>
      <c r="H1259" s="541" t="s">
        <v>5135</v>
      </c>
      <c r="I1259" s="513" t="s">
        <v>5511</v>
      </c>
      <c r="J1259" s="513" t="s">
        <v>19</v>
      </c>
      <c r="K1259" s="516">
        <v>20933.43</v>
      </c>
      <c r="L1259" s="543">
        <v>54.688499999999998</v>
      </c>
      <c r="M1259" s="516">
        <f t="shared" si="102"/>
        <v>382.77572067253629</v>
      </c>
      <c r="N1259" s="587">
        <v>60</v>
      </c>
      <c r="O1259" s="563">
        <f t="shared" si="99"/>
        <v>348.89050000000003</v>
      </c>
      <c r="P1259" s="544">
        <f t="shared" ca="1" si="100"/>
        <v>27</v>
      </c>
      <c r="Q1259" s="552">
        <f t="shared" ca="1" si="98"/>
        <v>11513.386499999999</v>
      </c>
      <c r="R1259" s="563">
        <f t="shared" ca="1" si="101"/>
        <v>11513.386499999999</v>
      </c>
      <c r="S1259" s="513" t="s">
        <v>6020</v>
      </c>
    </row>
    <row r="1260" spans="2:19" ht="50.1" customHeight="1" x14ac:dyDescent="0.25">
      <c r="B1260" s="861">
        <v>45026</v>
      </c>
      <c r="C1260" s="583">
        <v>45083</v>
      </c>
      <c r="D1260" s="583"/>
      <c r="E1260" s="548" t="s">
        <v>4254</v>
      </c>
      <c r="F1260" s="513" t="s">
        <v>4179</v>
      </c>
      <c r="G1260" s="513" t="s">
        <v>4255</v>
      </c>
      <c r="H1260" s="541" t="s">
        <v>5127</v>
      </c>
      <c r="I1260" s="899" t="s">
        <v>5130</v>
      </c>
      <c r="J1260" s="513" t="s">
        <v>19</v>
      </c>
      <c r="K1260" s="516">
        <v>145290.09</v>
      </c>
      <c r="L1260" s="543">
        <v>54.688499999999998</v>
      </c>
      <c r="M1260" s="516">
        <f t="shared" si="102"/>
        <v>2656.6844949120932</v>
      </c>
      <c r="N1260" s="587">
        <v>60</v>
      </c>
      <c r="O1260" s="563">
        <f t="shared" si="99"/>
        <v>2421.5014999999999</v>
      </c>
      <c r="P1260" s="544">
        <f t="shared" ca="1" si="100"/>
        <v>27</v>
      </c>
      <c r="Q1260" s="552">
        <f t="shared" ca="1" si="98"/>
        <v>79909.549499999994</v>
      </c>
      <c r="R1260" s="563">
        <f t="shared" ca="1" si="101"/>
        <v>79909.549499999994</v>
      </c>
      <c r="S1260" s="513" t="s">
        <v>6020</v>
      </c>
    </row>
    <row r="1261" spans="2:19" ht="50.1" customHeight="1" x14ac:dyDescent="0.25">
      <c r="B1261" s="861">
        <v>45026</v>
      </c>
      <c r="C1261" s="583">
        <v>45083</v>
      </c>
      <c r="D1261" s="583"/>
      <c r="E1261" s="548" t="s">
        <v>4254</v>
      </c>
      <c r="F1261" s="513" t="s">
        <v>4180</v>
      </c>
      <c r="G1261" s="513" t="s">
        <v>4255</v>
      </c>
      <c r="H1261" s="541" t="s">
        <v>5128</v>
      </c>
      <c r="I1261" s="899" t="s">
        <v>5130</v>
      </c>
      <c r="J1261" s="513" t="s">
        <v>19</v>
      </c>
      <c r="K1261" s="516">
        <v>145290.09</v>
      </c>
      <c r="L1261" s="543">
        <v>54.688499999999998</v>
      </c>
      <c r="M1261" s="516">
        <f t="shared" si="102"/>
        <v>2656.6844949120932</v>
      </c>
      <c r="N1261" s="587">
        <v>60</v>
      </c>
      <c r="O1261" s="563">
        <f t="shared" si="99"/>
        <v>2421.5014999999999</v>
      </c>
      <c r="P1261" s="544">
        <f t="shared" ca="1" si="100"/>
        <v>27</v>
      </c>
      <c r="Q1261" s="552">
        <f t="shared" ca="1" si="98"/>
        <v>79909.549499999994</v>
      </c>
      <c r="R1261" s="563">
        <f t="shared" ca="1" si="101"/>
        <v>79909.549499999994</v>
      </c>
      <c r="S1261" s="513" t="s">
        <v>6020</v>
      </c>
    </row>
    <row r="1262" spans="2:19" ht="63" customHeight="1" x14ac:dyDescent="0.25">
      <c r="B1262" s="861">
        <v>45026</v>
      </c>
      <c r="C1262" s="583">
        <v>45083</v>
      </c>
      <c r="D1262" s="583"/>
      <c r="E1262" s="548" t="s">
        <v>4254</v>
      </c>
      <c r="F1262" s="513" t="s">
        <v>4181</v>
      </c>
      <c r="G1262" s="513" t="s">
        <v>4255</v>
      </c>
      <c r="H1262" s="541" t="s">
        <v>5129</v>
      </c>
      <c r="I1262" s="968" t="s">
        <v>5131</v>
      </c>
      <c r="J1262" s="513" t="s">
        <v>19</v>
      </c>
      <c r="K1262" s="516">
        <v>145290.09</v>
      </c>
      <c r="L1262" s="543">
        <v>54.688499999999998</v>
      </c>
      <c r="M1262" s="516">
        <f t="shared" si="102"/>
        <v>2656.6844949120932</v>
      </c>
      <c r="N1262" s="587">
        <v>60</v>
      </c>
      <c r="O1262" s="563">
        <f t="shared" si="99"/>
        <v>2421.5014999999999</v>
      </c>
      <c r="P1262" s="544">
        <f t="shared" ca="1" si="100"/>
        <v>27</v>
      </c>
      <c r="Q1262" s="552">
        <f t="shared" ca="1" si="98"/>
        <v>79909.549499999994</v>
      </c>
      <c r="R1262" s="563">
        <f t="shared" ca="1" si="101"/>
        <v>79909.549499999994</v>
      </c>
      <c r="S1262" s="513" t="s">
        <v>6020</v>
      </c>
    </row>
    <row r="1263" spans="2:19" ht="63" customHeight="1" x14ac:dyDescent="0.25">
      <c r="B1263" s="861">
        <v>45099</v>
      </c>
      <c r="C1263" s="583">
        <v>45111</v>
      </c>
      <c r="D1263" s="583"/>
      <c r="E1263" s="548" t="s">
        <v>4328</v>
      </c>
      <c r="F1263" s="513" t="s">
        <v>4338</v>
      </c>
      <c r="G1263" s="513" t="s">
        <v>4331</v>
      </c>
      <c r="H1263" s="541" t="s">
        <v>4330</v>
      </c>
      <c r="I1263" s="513" t="s">
        <v>4987</v>
      </c>
      <c r="J1263" s="513" t="s">
        <v>19</v>
      </c>
      <c r="K1263" s="516">
        <v>365466.1</v>
      </c>
      <c r="L1263" s="543">
        <v>54.875900000000001</v>
      </c>
      <c r="M1263" s="516">
        <f t="shared" si="102"/>
        <v>6659.8652596130532</v>
      </c>
      <c r="N1263" s="587">
        <v>60</v>
      </c>
      <c r="O1263" s="563">
        <f t="shared" si="99"/>
        <v>6091.1016666666665</v>
      </c>
      <c r="P1263" s="544">
        <f t="shared" ca="1" si="100"/>
        <v>25</v>
      </c>
      <c r="Q1263" s="552">
        <f t="shared" ca="1" si="98"/>
        <v>213188.55833333332</v>
      </c>
      <c r="R1263" s="563">
        <f t="shared" ca="1" si="101"/>
        <v>213188.55833333332</v>
      </c>
      <c r="S1263" s="513" t="s">
        <v>4344</v>
      </c>
    </row>
    <row r="1264" spans="2:19" ht="63" customHeight="1" x14ac:dyDescent="0.25">
      <c r="B1264" s="861">
        <v>45099</v>
      </c>
      <c r="C1264" s="583">
        <v>45111</v>
      </c>
      <c r="D1264" s="583"/>
      <c r="E1264" s="548" t="s">
        <v>4328</v>
      </c>
      <c r="F1264" s="513" t="s">
        <v>4339</v>
      </c>
      <c r="G1264" s="513" t="s">
        <v>4331</v>
      </c>
      <c r="H1264" s="541" t="s">
        <v>7091</v>
      </c>
      <c r="I1264" s="513" t="s">
        <v>1732</v>
      </c>
      <c r="J1264" s="513" t="s">
        <v>19</v>
      </c>
      <c r="K1264" s="516">
        <v>365466.1</v>
      </c>
      <c r="L1264" s="543">
        <v>54.875900000000001</v>
      </c>
      <c r="M1264" s="516">
        <f t="shared" si="102"/>
        <v>6659.8652596130532</v>
      </c>
      <c r="N1264" s="587">
        <v>60</v>
      </c>
      <c r="O1264" s="563">
        <f t="shared" si="99"/>
        <v>6091.1016666666665</v>
      </c>
      <c r="P1264" s="544">
        <f t="shared" ca="1" si="100"/>
        <v>25</v>
      </c>
      <c r="Q1264" s="552">
        <f t="shared" ca="1" si="98"/>
        <v>213188.55833333332</v>
      </c>
      <c r="R1264" s="563">
        <f t="shared" ca="1" si="101"/>
        <v>213188.55833333332</v>
      </c>
      <c r="S1264" s="513" t="s">
        <v>4344</v>
      </c>
    </row>
    <row r="1265" spans="2:19" ht="63" customHeight="1" x14ac:dyDescent="0.25">
      <c r="B1265" s="861">
        <v>45099</v>
      </c>
      <c r="C1265" s="583">
        <v>45111</v>
      </c>
      <c r="D1265" s="583"/>
      <c r="E1265" s="548" t="s">
        <v>4328</v>
      </c>
      <c r="F1265" s="513" t="s">
        <v>4337</v>
      </c>
      <c r="G1265" s="513" t="s">
        <v>4965</v>
      </c>
      <c r="H1265" s="541" t="s">
        <v>4329</v>
      </c>
      <c r="I1265" s="513" t="s">
        <v>1735</v>
      </c>
      <c r="J1265" s="513" t="s">
        <v>19</v>
      </c>
      <c r="K1265" s="516">
        <v>365466.1</v>
      </c>
      <c r="L1265" s="543">
        <v>54.875900000000001</v>
      </c>
      <c r="M1265" s="516">
        <f t="shared" si="102"/>
        <v>6659.8652596130532</v>
      </c>
      <c r="N1265" s="587">
        <v>60</v>
      </c>
      <c r="O1265" s="563">
        <f t="shared" si="99"/>
        <v>6091.1016666666665</v>
      </c>
      <c r="P1265" s="544">
        <f t="shared" ca="1" si="100"/>
        <v>25</v>
      </c>
      <c r="Q1265" s="552">
        <f t="shared" ca="1" si="98"/>
        <v>213188.55833333332</v>
      </c>
      <c r="R1265" s="563">
        <f t="shared" ca="1" si="101"/>
        <v>213188.55833333332</v>
      </c>
      <c r="S1265" s="513" t="s">
        <v>4344</v>
      </c>
    </row>
    <row r="1266" spans="2:19" ht="63" customHeight="1" x14ac:dyDescent="0.25">
      <c r="B1266" s="861">
        <v>45099</v>
      </c>
      <c r="C1266" s="583">
        <v>45111</v>
      </c>
      <c r="D1266" s="583"/>
      <c r="E1266" s="548" t="s">
        <v>4328</v>
      </c>
      <c r="F1266" s="513" t="s">
        <v>4340</v>
      </c>
      <c r="G1266" s="513" t="s">
        <v>4332</v>
      </c>
      <c r="H1266" s="541" t="s">
        <v>4333</v>
      </c>
      <c r="I1266" s="513" t="s">
        <v>5512</v>
      </c>
      <c r="J1266" s="513" t="s">
        <v>19</v>
      </c>
      <c r="K1266" s="516">
        <v>160805.09</v>
      </c>
      <c r="L1266" s="543">
        <v>54.875900000000001</v>
      </c>
      <c r="M1266" s="516">
        <f t="shared" si="102"/>
        <v>2930.3408235673583</v>
      </c>
      <c r="N1266" s="587">
        <v>60</v>
      </c>
      <c r="O1266" s="563">
        <f t="shared" si="99"/>
        <v>2680.0848333333333</v>
      </c>
      <c r="P1266" s="544">
        <f t="shared" ca="1" si="100"/>
        <v>25</v>
      </c>
      <c r="Q1266" s="552">
        <f t="shared" ca="1" si="98"/>
        <v>93802.969166666662</v>
      </c>
      <c r="R1266" s="563">
        <f t="shared" ca="1" si="101"/>
        <v>93802.969166666662</v>
      </c>
      <c r="S1266" s="513" t="s">
        <v>4344</v>
      </c>
    </row>
    <row r="1267" spans="2:19" ht="63" customHeight="1" x14ac:dyDescent="0.25">
      <c r="B1267" s="861">
        <v>45099</v>
      </c>
      <c r="C1267" s="583">
        <v>45112</v>
      </c>
      <c r="D1267" s="583"/>
      <c r="E1267" s="548" t="s">
        <v>4328</v>
      </c>
      <c r="F1267" s="513" t="s">
        <v>4341</v>
      </c>
      <c r="G1267" s="513" t="s">
        <v>4332</v>
      </c>
      <c r="H1267" s="541" t="s">
        <v>4334</v>
      </c>
      <c r="I1267" s="513" t="s">
        <v>5514</v>
      </c>
      <c r="J1267" s="513" t="s">
        <v>19</v>
      </c>
      <c r="K1267" s="516">
        <v>160805.09</v>
      </c>
      <c r="L1267" s="543">
        <v>54.875900000000001</v>
      </c>
      <c r="M1267" s="516">
        <f t="shared" si="102"/>
        <v>2930.3408235673583</v>
      </c>
      <c r="N1267" s="587">
        <v>60</v>
      </c>
      <c r="O1267" s="563">
        <f t="shared" si="99"/>
        <v>2680.0848333333333</v>
      </c>
      <c r="P1267" s="544">
        <f t="shared" ca="1" si="100"/>
        <v>25</v>
      </c>
      <c r="Q1267" s="552">
        <f t="shared" ca="1" si="98"/>
        <v>93802.969166666662</v>
      </c>
      <c r="R1267" s="563">
        <f t="shared" ca="1" si="101"/>
        <v>93802.969166666662</v>
      </c>
      <c r="S1267" s="513" t="s">
        <v>4344</v>
      </c>
    </row>
    <row r="1268" spans="2:19" ht="63" customHeight="1" x14ac:dyDescent="0.25">
      <c r="B1268" s="861">
        <v>45100</v>
      </c>
      <c r="C1268" s="583">
        <v>45112</v>
      </c>
      <c r="D1268" s="583"/>
      <c r="E1268" s="548" t="s">
        <v>4328</v>
      </c>
      <c r="F1268" s="513" t="s">
        <v>4342</v>
      </c>
      <c r="G1268" s="513" t="s">
        <v>4345</v>
      </c>
      <c r="H1268" s="541" t="s">
        <v>4335</v>
      </c>
      <c r="I1268" s="513" t="s">
        <v>5513</v>
      </c>
      <c r="J1268" s="513" t="s">
        <v>19</v>
      </c>
      <c r="K1268" s="516">
        <v>209533.89799999999</v>
      </c>
      <c r="L1268" s="543">
        <v>54.875900000000001</v>
      </c>
      <c r="M1268" s="516">
        <f t="shared" si="102"/>
        <v>3818.3227609934411</v>
      </c>
      <c r="N1268" s="587">
        <v>60</v>
      </c>
      <c r="O1268" s="563">
        <f t="shared" si="99"/>
        <v>3492.2316333333333</v>
      </c>
      <c r="P1268" s="544">
        <f t="shared" ca="1" si="100"/>
        <v>25</v>
      </c>
      <c r="Q1268" s="552">
        <f t="shared" ca="1" si="98"/>
        <v>122228.10716666665</v>
      </c>
      <c r="R1268" s="563">
        <f t="shared" ca="1" si="101"/>
        <v>122228.10716666665</v>
      </c>
      <c r="S1268" s="513" t="s">
        <v>4344</v>
      </c>
    </row>
    <row r="1269" spans="2:19" ht="63" customHeight="1" x14ac:dyDescent="0.25">
      <c r="B1269" s="861">
        <v>45101</v>
      </c>
      <c r="C1269" s="583">
        <v>45112</v>
      </c>
      <c r="D1269" s="583"/>
      <c r="E1269" s="548" t="s">
        <v>4328</v>
      </c>
      <c r="F1269" s="513" t="s">
        <v>4343</v>
      </c>
      <c r="G1269" s="513" t="s">
        <v>4345</v>
      </c>
      <c r="H1269" s="541" t="s">
        <v>4336</v>
      </c>
      <c r="I1269" s="513" t="s">
        <v>5515</v>
      </c>
      <c r="J1269" s="513" t="s">
        <v>19</v>
      </c>
      <c r="K1269" s="516">
        <v>180296.61319999999</v>
      </c>
      <c r="L1269" s="543">
        <v>54.875900000000001</v>
      </c>
      <c r="M1269" s="516">
        <f t="shared" si="102"/>
        <v>3285.5335985377915</v>
      </c>
      <c r="N1269" s="587">
        <v>60</v>
      </c>
      <c r="O1269" s="588">
        <f t="shared" ref="O1269:O1332" si="103">+K1269/N1269</f>
        <v>3004.9435533333331</v>
      </c>
      <c r="P1269" s="544">
        <f t="shared" ca="1" si="100"/>
        <v>25</v>
      </c>
      <c r="Q1269" s="552">
        <f t="shared" ca="1" si="98"/>
        <v>105173.02436666666</v>
      </c>
      <c r="R1269" s="563">
        <f t="shared" ca="1" si="101"/>
        <v>105173.02436666666</v>
      </c>
      <c r="S1269" s="513" t="s">
        <v>4344</v>
      </c>
    </row>
    <row r="1270" spans="2:19" ht="63" customHeight="1" x14ac:dyDescent="0.25">
      <c r="B1270" s="861">
        <v>45247</v>
      </c>
      <c r="C1270" s="583">
        <v>45280</v>
      </c>
      <c r="D1270" s="583"/>
      <c r="E1270" s="520" t="s">
        <v>4496</v>
      </c>
      <c r="F1270" s="513" t="s">
        <v>4467</v>
      </c>
      <c r="G1270" s="513" t="s">
        <v>4468</v>
      </c>
      <c r="H1270" s="541" t="s">
        <v>4469</v>
      </c>
      <c r="I1270" s="513" t="s">
        <v>5118</v>
      </c>
      <c r="J1270" s="513" t="s">
        <v>5119</v>
      </c>
      <c r="K1270" s="516">
        <v>23499.86</v>
      </c>
      <c r="L1270" s="543">
        <v>56.753</v>
      </c>
      <c r="M1270" s="516">
        <f t="shared" si="102"/>
        <v>414.0725600408789</v>
      </c>
      <c r="N1270" s="587">
        <v>60</v>
      </c>
      <c r="O1270" s="588">
        <f t="shared" si="103"/>
        <v>391.66433333333333</v>
      </c>
      <c r="P1270" s="544">
        <f t="shared" ca="1" si="100"/>
        <v>20</v>
      </c>
      <c r="Q1270" s="552">
        <f t="shared" ca="1" si="98"/>
        <v>15666.573333333334</v>
      </c>
      <c r="R1270" s="563">
        <f t="shared" ca="1" si="101"/>
        <v>15666.573333333334</v>
      </c>
      <c r="S1270" s="513" t="s">
        <v>4344</v>
      </c>
    </row>
    <row r="1271" spans="2:19" ht="88.5" customHeight="1" x14ac:dyDescent="0.25">
      <c r="B1271" s="861">
        <v>45247</v>
      </c>
      <c r="C1271" s="583">
        <v>45280</v>
      </c>
      <c r="D1271" s="583"/>
      <c r="E1271" s="520" t="s">
        <v>4496</v>
      </c>
      <c r="F1271" s="513" t="s">
        <v>4497</v>
      </c>
      <c r="G1271" s="513" t="s">
        <v>4468</v>
      </c>
      <c r="H1271" s="541" t="s">
        <v>4471</v>
      </c>
      <c r="I1271" s="513" t="s">
        <v>4988</v>
      </c>
      <c r="J1271" s="513" t="s">
        <v>4992</v>
      </c>
      <c r="K1271" s="516">
        <v>23500</v>
      </c>
      <c r="L1271" s="543">
        <v>56.753</v>
      </c>
      <c r="M1271" s="516">
        <f t="shared" si="102"/>
        <v>414.07502687082621</v>
      </c>
      <c r="N1271" s="587">
        <v>60</v>
      </c>
      <c r="O1271" s="588">
        <f t="shared" si="103"/>
        <v>391.66666666666669</v>
      </c>
      <c r="P1271" s="544">
        <f t="shared" ca="1" si="100"/>
        <v>20</v>
      </c>
      <c r="Q1271" s="552">
        <f t="shared" ca="1" si="98"/>
        <v>15666.666666666666</v>
      </c>
      <c r="R1271" s="563">
        <f t="shared" ca="1" si="101"/>
        <v>15666.666666666666</v>
      </c>
      <c r="S1271" s="513" t="s">
        <v>4344</v>
      </c>
    </row>
    <row r="1272" spans="2:19" ht="63" customHeight="1" x14ac:dyDescent="0.25">
      <c r="B1272" s="861">
        <v>45247</v>
      </c>
      <c r="C1272" s="583">
        <v>45280</v>
      </c>
      <c r="D1272" s="583"/>
      <c r="E1272" s="520" t="s">
        <v>4496</v>
      </c>
      <c r="F1272" s="513" t="s">
        <v>4498</v>
      </c>
      <c r="G1272" s="513" t="s">
        <v>4468</v>
      </c>
      <c r="H1272" s="541" t="s">
        <v>4472</v>
      </c>
      <c r="I1272" s="513" t="s">
        <v>6019</v>
      </c>
      <c r="J1272" s="513" t="s">
        <v>6018</v>
      </c>
      <c r="K1272" s="516">
        <v>23500</v>
      </c>
      <c r="L1272" s="543">
        <v>56.753</v>
      </c>
      <c r="M1272" s="516">
        <f t="shared" si="102"/>
        <v>414.07502687082621</v>
      </c>
      <c r="N1272" s="587">
        <v>60</v>
      </c>
      <c r="O1272" s="588">
        <f t="shared" si="103"/>
        <v>391.66666666666669</v>
      </c>
      <c r="P1272" s="544">
        <f t="shared" ca="1" si="100"/>
        <v>20</v>
      </c>
      <c r="Q1272" s="552">
        <f t="shared" ca="1" si="98"/>
        <v>15666.666666666666</v>
      </c>
      <c r="R1272" s="563">
        <f t="shared" ca="1" si="101"/>
        <v>15666.666666666666</v>
      </c>
      <c r="S1272" s="513" t="s">
        <v>4344</v>
      </c>
    </row>
    <row r="1273" spans="2:19" ht="63" customHeight="1" x14ac:dyDescent="0.25">
      <c r="B1273" s="861">
        <v>45247</v>
      </c>
      <c r="C1273" s="583">
        <v>45280</v>
      </c>
      <c r="D1273" s="583"/>
      <c r="E1273" s="520" t="s">
        <v>4496</v>
      </c>
      <c r="F1273" s="513" t="s">
        <v>4499</v>
      </c>
      <c r="G1273" s="513" t="s">
        <v>4468</v>
      </c>
      <c r="H1273" s="541" t="s">
        <v>4473</v>
      </c>
      <c r="I1273" s="513" t="s">
        <v>4989</v>
      </c>
      <c r="J1273" s="513" t="s">
        <v>4994</v>
      </c>
      <c r="K1273" s="516">
        <v>23500</v>
      </c>
      <c r="L1273" s="543">
        <v>56.753</v>
      </c>
      <c r="M1273" s="516">
        <f t="shared" si="102"/>
        <v>414.07502687082621</v>
      </c>
      <c r="N1273" s="587">
        <v>60</v>
      </c>
      <c r="O1273" s="588">
        <f t="shared" si="103"/>
        <v>391.66666666666669</v>
      </c>
      <c r="P1273" s="544">
        <f t="shared" ca="1" si="100"/>
        <v>20</v>
      </c>
      <c r="Q1273" s="552">
        <f t="shared" ca="1" si="98"/>
        <v>15666.666666666666</v>
      </c>
      <c r="R1273" s="563">
        <f t="shared" ca="1" si="101"/>
        <v>15666.666666666666</v>
      </c>
      <c r="S1273" s="513" t="s">
        <v>4344</v>
      </c>
    </row>
    <row r="1274" spans="2:19" ht="63" customHeight="1" x14ac:dyDescent="0.25">
      <c r="B1274" s="861">
        <v>45247</v>
      </c>
      <c r="C1274" s="583">
        <v>45280</v>
      </c>
      <c r="D1274" s="583"/>
      <c r="E1274" s="520" t="s">
        <v>4496</v>
      </c>
      <c r="F1274" s="513" t="s">
        <v>4500</v>
      </c>
      <c r="G1274" s="513" t="s">
        <v>4468</v>
      </c>
      <c r="H1274" s="541" t="s">
        <v>4474</v>
      </c>
      <c r="I1274" s="513" t="s">
        <v>4990</v>
      </c>
      <c r="J1274" s="513" t="s">
        <v>4995</v>
      </c>
      <c r="K1274" s="516">
        <v>23500</v>
      </c>
      <c r="L1274" s="543">
        <v>56.753</v>
      </c>
      <c r="M1274" s="516">
        <f t="shared" si="102"/>
        <v>414.07502687082621</v>
      </c>
      <c r="N1274" s="587">
        <v>60</v>
      </c>
      <c r="O1274" s="588">
        <f t="shared" si="103"/>
        <v>391.66666666666669</v>
      </c>
      <c r="P1274" s="544">
        <f t="shared" ca="1" si="100"/>
        <v>20</v>
      </c>
      <c r="Q1274" s="552">
        <f t="shared" ca="1" si="98"/>
        <v>15666.666666666666</v>
      </c>
      <c r="R1274" s="563">
        <f t="shared" ca="1" si="101"/>
        <v>15666.666666666666</v>
      </c>
      <c r="S1274" s="513" t="s">
        <v>4344</v>
      </c>
    </row>
    <row r="1275" spans="2:19" ht="63" customHeight="1" x14ac:dyDescent="0.25">
      <c r="B1275" s="861">
        <v>45247</v>
      </c>
      <c r="C1275" s="583">
        <v>45280</v>
      </c>
      <c r="D1275" s="583"/>
      <c r="E1275" s="520" t="s">
        <v>4496</v>
      </c>
      <c r="F1275" s="513" t="s">
        <v>4501</v>
      </c>
      <c r="G1275" s="513" t="s">
        <v>4468</v>
      </c>
      <c r="H1275" s="541" t="s">
        <v>4475</v>
      </c>
      <c r="I1275" s="513" t="s">
        <v>4989</v>
      </c>
      <c r="J1275" s="513" t="s">
        <v>4994</v>
      </c>
      <c r="K1275" s="516">
        <v>23500</v>
      </c>
      <c r="L1275" s="543">
        <v>56.753</v>
      </c>
      <c r="M1275" s="516">
        <f t="shared" si="102"/>
        <v>414.07502687082621</v>
      </c>
      <c r="N1275" s="587">
        <v>60</v>
      </c>
      <c r="O1275" s="588">
        <f t="shared" si="103"/>
        <v>391.66666666666669</v>
      </c>
      <c r="P1275" s="544">
        <f t="shared" ca="1" si="100"/>
        <v>20</v>
      </c>
      <c r="Q1275" s="552">
        <f t="shared" ca="1" si="98"/>
        <v>15666.666666666666</v>
      </c>
      <c r="R1275" s="563">
        <f t="shared" ca="1" si="101"/>
        <v>15666.666666666666</v>
      </c>
      <c r="S1275" s="513" t="s">
        <v>4344</v>
      </c>
    </row>
    <row r="1276" spans="2:19" ht="63" customHeight="1" x14ac:dyDescent="0.25">
      <c r="B1276" s="861">
        <v>45247</v>
      </c>
      <c r="C1276" s="583">
        <v>45280</v>
      </c>
      <c r="D1276" s="583"/>
      <c r="E1276" s="520" t="s">
        <v>4496</v>
      </c>
      <c r="F1276" s="513" t="s">
        <v>4502</v>
      </c>
      <c r="G1276" s="513" t="s">
        <v>4468</v>
      </c>
      <c r="H1276" s="541" t="s">
        <v>4476</v>
      </c>
      <c r="I1276" s="513" t="s">
        <v>4991</v>
      </c>
      <c r="J1276" s="513" t="s">
        <v>4996</v>
      </c>
      <c r="K1276" s="516">
        <v>23500</v>
      </c>
      <c r="L1276" s="543">
        <v>56.753</v>
      </c>
      <c r="M1276" s="516">
        <f t="shared" si="102"/>
        <v>414.07502687082621</v>
      </c>
      <c r="N1276" s="587">
        <v>60</v>
      </c>
      <c r="O1276" s="588">
        <f t="shared" si="103"/>
        <v>391.66666666666669</v>
      </c>
      <c r="P1276" s="544">
        <f t="shared" ca="1" si="100"/>
        <v>20</v>
      </c>
      <c r="Q1276" s="552">
        <f t="shared" ca="1" si="98"/>
        <v>15666.666666666666</v>
      </c>
      <c r="R1276" s="563">
        <f t="shared" ca="1" si="101"/>
        <v>15666.666666666666</v>
      </c>
      <c r="S1276" s="513" t="s">
        <v>4344</v>
      </c>
    </row>
    <row r="1277" spans="2:19" ht="82.5" customHeight="1" x14ac:dyDescent="0.25">
      <c r="B1277" s="861">
        <v>45247</v>
      </c>
      <c r="C1277" s="583">
        <v>45280</v>
      </c>
      <c r="D1277" s="583"/>
      <c r="E1277" s="520" t="s">
        <v>4496</v>
      </c>
      <c r="F1277" s="513" t="s">
        <v>4503</v>
      </c>
      <c r="G1277" s="513" t="s">
        <v>4468</v>
      </c>
      <c r="H1277" s="541" t="s">
        <v>4477</v>
      </c>
      <c r="I1277" s="513" t="s">
        <v>4988</v>
      </c>
      <c r="J1277" s="513" t="s">
        <v>4992</v>
      </c>
      <c r="K1277" s="516">
        <v>23500</v>
      </c>
      <c r="L1277" s="543">
        <v>56.753</v>
      </c>
      <c r="M1277" s="516">
        <f t="shared" si="102"/>
        <v>414.07502687082621</v>
      </c>
      <c r="N1277" s="587">
        <v>60</v>
      </c>
      <c r="O1277" s="588">
        <f t="shared" si="103"/>
        <v>391.66666666666669</v>
      </c>
      <c r="P1277" s="544">
        <f t="shared" ca="1" si="100"/>
        <v>20</v>
      </c>
      <c r="Q1277" s="552">
        <f t="shared" ca="1" si="98"/>
        <v>15666.666666666666</v>
      </c>
      <c r="R1277" s="563">
        <f t="shared" ca="1" si="101"/>
        <v>15666.666666666666</v>
      </c>
      <c r="S1277" s="513" t="s">
        <v>4344</v>
      </c>
    </row>
    <row r="1278" spans="2:19" ht="63" customHeight="1" x14ac:dyDescent="0.25">
      <c r="B1278" s="861">
        <v>45247</v>
      </c>
      <c r="C1278" s="583">
        <v>45280</v>
      </c>
      <c r="D1278" s="583"/>
      <c r="E1278" s="520" t="s">
        <v>4496</v>
      </c>
      <c r="F1278" s="513" t="s">
        <v>4504</v>
      </c>
      <c r="G1278" s="513" t="s">
        <v>4468</v>
      </c>
      <c r="H1278" s="541" t="s">
        <v>4470</v>
      </c>
      <c r="I1278" s="513" t="s">
        <v>4988</v>
      </c>
      <c r="J1278" s="513" t="s">
        <v>4992</v>
      </c>
      <c r="K1278" s="516">
        <v>23500</v>
      </c>
      <c r="L1278" s="543">
        <v>56.753</v>
      </c>
      <c r="M1278" s="516">
        <f t="shared" si="102"/>
        <v>414.07502687082621</v>
      </c>
      <c r="N1278" s="587">
        <v>60</v>
      </c>
      <c r="O1278" s="588">
        <f t="shared" si="103"/>
        <v>391.66666666666669</v>
      </c>
      <c r="P1278" s="544">
        <f t="shared" ca="1" si="100"/>
        <v>20</v>
      </c>
      <c r="Q1278" s="552">
        <f t="shared" ca="1" si="98"/>
        <v>15666.666666666666</v>
      </c>
      <c r="R1278" s="563">
        <f t="shared" ca="1" si="101"/>
        <v>15666.666666666666</v>
      </c>
      <c r="S1278" s="513" t="s">
        <v>4344</v>
      </c>
    </row>
    <row r="1279" spans="2:19" ht="87.75" customHeight="1" x14ac:dyDescent="0.25">
      <c r="B1279" s="861">
        <v>45247</v>
      </c>
      <c r="C1279" s="583">
        <v>45280</v>
      </c>
      <c r="D1279" s="583"/>
      <c r="E1279" s="520" t="s">
        <v>4496</v>
      </c>
      <c r="F1279" s="513" t="s">
        <v>4505</v>
      </c>
      <c r="G1279" s="513" t="s">
        <v>4468</v>
      </c>
      <c r="H1279" s="541" t="s">
        <v>4478</v>
      </c>
      <c r="I1279" s="513" t="s">
        <v>4988</v>
      </c>
      <c r="J1279" s="513" t="s">
        <v>4992</v>
      </c>
      <c r="K1279" s="516">
        <v>23500</v>
      </c>
      <c r="L1279" s="543">
        <v>56.753</v>
      </c>
      <c r="M1279" s="516">
        <f t="shared" si="102"/>
        <v>414.07502687082621</v>
      </c>
      <c r="N1279" s="587">
        <v>60</v>
      </c>
      <c r="O1279" s="588">
        <f t="shared" si="103"/>
        <v>391.66666666666669</v>
      </c>
      <c r="P1279" s="544">
        <f t="shared" ca="1" si="100"/>
        <v>20</v>
      </c>
      <c r="Q1279" s="552">
        <f t="shared" ca="1" si="98"/>
        <v>15666.666666666666</v>
      </c>
      <c r="R1279" s="563">
        <f t="shared" ca="1" si="101"/>
        <v>15666.666666666666</v>
      </c>
      <c r="S1279" s="513" t="s">
        <v>4344</v>
      </c>
    </row>
    <row r="1280" spans="2:19" ht="63" customHeight="1" x14ac:dyDescent="0.25">
      <c r="B1280" s="861">
        <v>45247</v>
      </c>
      <c r="C1280" s="583">
        <v>45280</v>
      </c>
      <c r="D1280" s="583"/>
      <c r="E1280" s="520" t="s">
        <v>4496</v>
      </c>
      <c r="F1280" s="513" t="s">
        <v>4506</v>
      </c>
      <c r="G1280" s="513" t="s">
        <v>4468</v>
      </c>
      <c r="H1280" s="541" t="s">
        <v>4479</v>
      </c>
      <c r="I1280" s="513" t="s">
        <v>4989</v>
      </c>
      <c r="J1280" s="513" t="s">
        <v>4994</v>
      </c>
      <c r="K1280" s="516">
        <v>23500</v>
      </c>
      <c r="L1280" s="543">
        <v>56.753</v>
      </c>
      <c r="M1280" s="516">
        <f t="shared" si="102"/>
        <v>414.07502687082621</v>
      </c>
      <c r="N1280" s="587">
        <v>60</v>
      </c>
      <c r="O1280" s="588">
        <f t="shared" si="103"/>
        <v>391.66666666666669</v>
      </c>
      <c r="P1280" s="544">
        <f t="shared" ca="1" si="100"/>
        <v>20</v>
      </c>
      <c r="Q1280" s="552">
        <f t="shared" ca="1" si="98"/>
        <v>15666.666666666666</v>
      </c>
      <c r="R1280" s="563">
        <f t="shared" ca="1" si="101"/>
        <v>15666.666666666666</v>
      </c>
      <c r="S1280" s="513" t="s">
        <v>4344</v>
      </c>
    </row>
    <row r="1281" spans="2:19" ht="63" customHeight="1" x14ac:dyDescent="0.25">
      <c r="B1281" s="861">
        <v>45247</v>
      </c>
      <c r="C1281" s="583">
        <v>45280</v>
      </c>
      <c r="D1281" s="583"/>
      <c r="E1281" s="520" t="s">
        <v>4496</v>
      </c>
      <c r="F1281" s="513" t="s">
        <v>4507</v>
      </c>
      <c r="G1281" s="513" t="s">
        <v>4468</v>
      </c>
      <c r="H1281" s="541" t="s">
        <v>4480</v>
      </c>
      <c r="I1281" s="513" t="s">
        <v>5117</v>
      </c>
      <c r="J1281" s="513" t="s">
        <v>442</v>
      </c>
      <c r="K1281" s="516">
        <v>23500</v>
      </c>
      <c r="L1281" s="543">
        <v>56.753</v>
      </c>
      <c r="M1281" s="516">
        <f t="shared" si="102"/>
        <v>414.07502687082621</v>
      </c>
      <c r="N1281" s="587">
        <v>60</v>
      </c>
      <c r="O1281" s="588">
        <f t="shared" si="103"/>
        <v>391.66666666666669</v>
      </c>
      <c r="P1281" s="544">
        <f t="shared" ca="1" si="100"/>
        <v>20</v>
      </c>
      <c r="Q1281" s="552">
        <f t="shared" ca="1" si="98"/>
        <v>15666.666666666666</v>
      </c>
      <c r="R1281" s="563">
        <f t="shared" ca="1" si="101"/>
        <v>15666.666666666666</v>
      </c>
      <c r="S1281" s="513" t="s">
        <v>4344</v>
      </c>
    </row>
    <row r="1282" spans="2:19" ht="63" customHeight="1" x14ac:dyDescent="0.25">
      <c r="B1282" s="861">
        <v>45247</v>
      </c>
      <c r="C1282" s="583">
        <v>45280</v>
      </c>
      <c r="D1282" s="583"/>
      <c r="E1282" s="520" t="s">
        <v>4496</v>
      </c>
      <c r="F1282" s="513" t="s">
        <v>4508</v>
      </c>
      <c r="G1282" s="513" t="s">
        <v>4468</v>
      </c>
      <c r="H1282" s="541" t="s">
        <v>5124</v>
      </c>
      <c r="I1282" s="513" t="s">
        <v>5118</v>
      </c>
      <c r="J1282" s="513" t="s">
        <v>5119</v>
      </c>
      <c r="K1282" s="516">
        <v>23500</v>
      </c>
      <c r="L1282" s="543">
        <v>56.753</v>
      </c>
      <c r="M1282" s="516">
        <f t="shared" si="102"/>
        <v>414.07502687082621</v>
      </c>
      <c r="N1282" s="587">
        <v>60</v>
      </c>
      <c r="O1282" s="588">
        <f t="shared" si="103"/>
        <v>391.66666666666669</v>
      </c>
      <c r="P1282" s="544">
        <f t="shared" ca="1" si="100"/>
        <v>20</v>
      </c>
      <c r="Q1282" s="552">
        <f t="shared" ref="Q1282:Q1345" ca="1" si="104">IF(OR(K1282=0,N1282=0,P1282=0),0,K1282-(O1282*P1282))</f>
        <v>15666.666666666666</v>
      </c>
      <c r="R1282" s="563">
        <f t="shared" ca="1" si="101"/>
        <v>15666.666666666666</v>
      </c>
      <c r="S1282" s="513" t="s">
        <v>4344</v>
      </c>
    </row>
    <row r="1283" spans="2:19" ht="63" customHeight="1" x14ac:dyDescent="0.25">
      <c r="B1283" s="861">
        <v>45247</v>
      </c>
      <c r="C1283" s="583">
        <v>45280</v>
      </c>
      <c r="D1283" s="583"/>
      <c r="E1283" s="520" t="s">
        <v>4496</v>
      </c>
      <c r="F1283" s="513" t="s">
        <v>4509</v>
      </c>
      <c r="G1283" s="513" t="s">
        <v>4468</v>
      </c>
      <c r="H1283" s="541" t="s">
        <v>4481</v>
      </c>
      <c r="I1283" s="513" t="s">
        <v>5118</v>
      </c>
      <c r="J1283" s="513" t="s">
        <v>5119</v>
      </c>
      <c r="K1283" s="516">
        <v>23500</v>
      </c>
      <c r="L1283" s="543">
        <v>56.753</v>
      </c>
      <c r="M1283" s="516">
        <f t="shared" si="102"/>
        <v>414.07502687082621</v>
      </c>
      <c r="N1283" s="587">
        <v>60</v>
      </c>
      <c r="O1283" s="588">
        <f t="shared" si="103"/>
        <v>391.66666666666669</v>
      </c>
      <c r="P1283" s="544">
        <f t="shared" ca="1" si="100"/>
        <v>20</v>
      </c>
      <c r="Q1283" s="552">
        <f t="shared" ca="1" si="104"/>
        <v>15666.666666666666</v>
      </c>
      <c r="R1283" s="563">
        <f t="shared" ca="1" si="101"/>
        <v>15666.666666666666</v>
      </c>
      <c r="S1283" s="513" t="s">
        <v>4344</v>
      </c>
    </row>
    <row r="1284" spans="2:19" ht="81.75" customHeight="1" x14ac:dyDescent="0.25">
      <c r="B1284" s="861">
        <v>45247</v>
      </c>
      <c r="C1284" s="583">
        <v>45280</v>
      </c>
      <c r="D1284" s="583"/>
      <c r="E1284" s="520" t="s">
        <v>4496</v>
      </c>
      <c r="F1284" s="513" t="s">
        <v>4510</v>
      </c>
      <c r="G1284" s="513" t="s">
        <v>4468</v>
      </c>
      <c r="H1284" s="541" t="s">
        <v>4482</v>
      </c>
      <c r="I1284" s="513" t="s">
        <v>4988</v>
      </c>
      <c r="J1284" s="513" t="s">
        <v>4992</v>
      </c>
      <c r="K1284" s="516">
        <v>23500</v>
      </c>
      <c r="L1284" s="543">
        <v>56.753</v>
      </c>
      <c r="M1284" s="516">
        <f t="shared" si="102"/>
        <v>414.07502687082621</v>
      </c>
      <c r="N1284" s="587">
        <v>60</v>
      </c>
      <c r="O1284" s="588">
        <f t="shared" si="103"/>
        <v>391.66666666666669</v>
      </c>
      <c r="P1284" s="544">
        <f t="shared" ca="1" si="100"/>
        <v>20</v>
      </c>
      <c r="Q1284" s="552">
        <f t="shared" ca="1" si="104"/>
        <v>15666.666666666666</v>
      </c>
      <c r="R1284" s="563">
        <f t="shared" ca="1" si="101"/>
        <v>15666.666666666666</v>
      </c>
      <c r="S1284" s="513" t="s">
        <v>4344</v>
      </c>
    </row>
    <row r="1285" spans="2:19" ht="80.25" customHeight="1" x14ac:dyDescent="0.25">
      <c r="B1285" s="861">
        <v>45247</v>
      </c>
      <c r="C1285" s="583">
        <v>45280</v>
      </c>
      <c r="D1285" s="583"/>
      <c r="E1285" s="520" t="s">
        <v>4496</v>
      </c>
      <c r="F1285" s="513" t="s">
        <v>4511</v>
      </c>
      <c r="G1285" s="513" t="s">
        <v>4468</v>
      </c>
      <c r="H1285" s="541" t="s">
        <v>4483</v>
      </c>
      <c r="I1285" s="513" t="s">
        <v>4988</v>
      </c>
      <c r="J1285" s="513" t="s">
        <v>4992</v>
      </c>
      <c r="K1285" s="516">
        <v>23500</v>
      </c>
      <c r="L1285" s="543">
        <v>56.753</v>
      </c>
      <c r="M1285" s="516">
        <f t="shared" si="102"/>
        <v>414.07502687082621</v>
      </c>
      <c r="N1285" s="587">
        <v>60</v>
      </c>
      <c r="O1285" s="588">
        <f t="shared" si="103"/>
        <v>391.66666666666669</v>
      </c>
      <c r="P1285" s="544">
        <f t="shared" ca="1" si="100"/>
        <v>20</v>
      </c>
      <c r="Q1285" s="552">
        <f t="shared" ca="1" si="104"/>
        <v>15666.666666666666</v>
      </c>
      <c r="R1285" s="563">
        <f t="shared" ca="1" si="101"/>
        <v>15666.666666666666</v>
      </c>
      <c r="S1285" s="513" t="s">
        <v>4344</v>
      </c>
    </row>
    <row r="1286" spans="2:19" ht="63" customHeight="1" x14ac:dyDescent="0.25">
      <c r="B1286" s="861">
        <v>45247</v>
      </c>
      <c r="C1286" s="583">
        <v>45280</v>
      </c>
      <c r="D1286" s="583"/>
      <c r="E1286" s="520" t="s">
        <v>4496</v>
      </c>
      <c r="F1286" s="513" t="s">
        <v>4512</v>
      </c>
      <c r="G1286" s="513" t="s">
        <v>4468</v>
      </c>
      <c r="H1286" s="541" t="s">
        <v>4484</v>
      </c>
      <c r="I1286" s="513" t="s">
        <v>5120</v>
      </c>
      <c r="J1286" s="513" t="s">
        <v>4993</v>
      </c>
      <c r="K1286" s="516">
        <v>23500</v>
      </c>
      <c r="L1286" s="543">
        <v>56.753</v>
      </c>
      <c r="M1286" s="516">
        <f t="shared" si="102"/>
        <v>414.07502687082621</v>
      </c>
      <c r="N1286" s="587">
        <v>60</v>
      </c>
      <c r="O1286" s="588">
        <f t="shared" si="103"/>
        <v>391.66666666666669</v>
      </c>
      <c r="P1286" s="544">
        <f t="shared" ca="1" si="100"/>
        <v>20</v>
      </c>
      <c r="Q1286" s="552">
        <f t="shared" ca="1" si="104"/>
        <v>15666.666666666666</v>
      </c>
      <c r="R1286" s="563">
        <f t="shared" ca="1" si="101"/>
        <v>15666.666666666666</v>
      </c>
      <c r="S1286" s="513" t="s">
        <v>4344</v>
      </c>
    </row>
    <row r="1287" spans="2:19" ht="87" customHeight="1" x14ac:dyDescent="0.25">
      <c r="B1287" s="861">
        <v>45247</v>
      </c>
      <c r="C1287" s="583">
        <v>45280</v>
      </c>
      <c r="D1287" s="583"/>
      <c r="E1287" s="520" t="s">
        <v>4496</v>
      </c>
      <c r="F1287" s="513" t="s">
        <v>4513</v>
      </c>
      <c r="G1287" s="513" t="s">
        <v>4468</v>
      </c>
      <c r="H1287" s="541" t="s">
        <v>4485</v>
      </c>
      <c r="I1287" s="513" t="s">
        <v>5121</v>
      </c>
      <c r="J1287" s="513" t="s">
        <v>5122</v>
      </c>
      <c r="K1287" s="516">
        <v>23500</v>
      </c>
      <c r="L1287" s="543">
        <v>56.753</v>
      </c>
      <c r="M1287" s="516">
        <f t="shared" si="102"/>
        <v>414.07502687082621</v>
      </c>
      <c r="N1287" s="587">
        <v>60</v>
      </c>
      <c r="O1287" s="588">
        <f t="shared" si="103"/>
        <v>391.66666666666669</v>
      </c>
      <c r="P1287" s="544">
        <f t="shared" ca="1" si="100"/>
        <v>20</v>
      </c>
      <c r="Q1287" s="552">
        <f t="shared" ca="1" si="104"/>
        <v>15666.666666666666</v>
      </c>
      <c r="R1287" s="563">
        <f t="shared" ca="1" si="101"/>
        <v>15666.666666666666</v>
      </c>
      <c r="S1287" s="513" t="s">
        <v>4344</v>
      </c>
    </row>
    <row r="1288" spans="2:19" ht="63" customHeight="1" x14ac:dyDescent="0.25">
      <c r="B1288" s="861">
        <v>45247</v>
      </c>
      <c r="C1288" s="583">
        <v>45280</v>
      </c>
      <c r="D1288" s="583"/>
      <c r="E1288" s="520" t="s">
        <v>4496</v>
      </c>
      <c r="F1288" s="513" t="s">
        <v>4514</v>
      </c>
      <c r="G1288" s="513" t="s">
        <v>4468</v>
      </c>
      <c r="H1288" s="541" t="s">
        <v>4486</v>
      </c>
      <c r="I1288" s="513" t="s">
        <v>4989</v>
      </c>
      <c r="J1288" s="513" t="s">
        <v>4994</v>
      </c>
      <c r="K1288" s="516">
        <v>23500</v>
      </c>
      <c r="L1288" s="543">
        <v>56.753</v>
      </c>
      <c r="M1288" s="516">
        <f t="shared" si="102"/>
        <v>414.07502687082621</v>
      </c>
      <c r="N1288" s="587">
        <v>60</v>
      </c>
      <c r="O1288" s="588">
        <f t="shared" si="103"/>
        <v>391.66666666666669</v>
      </c>
      <c r="P1288" s="544">
        <f t="shared" ref="P1288:P1351" ca="1" si="105">IF(B1288&lt;&gt;0,(ROUND((NOW()-B1288)/30,0)),0)</f>
        <v>20</v>
      </c>
      <c r="Q1288" s="552">
        <f t="shared" ca="1" si="104"/>
        <v>15666.666666666666</v>
      </c>
      <c r="R1288" s="563">
        <f t="shared" ref="R1288:R1351" ca="1" si="106">IF(Q1288&lt;1,1,Q1288)</f>
        <v>15666.666666666666</v>
      </c>
      <c r="S1288" s="513" t="s">
        <v>4344</v>
      </c>
    </row>
    <row r="1289" spans="2:19" ht="63" customHeight="1" x14ac:dyDescent="0.25">
      <c r="B1289" s="861">
        <v>45247</v>
      </c>
      <c r="C1289" s="583">
        <v>45280</v>
      </c>
      <c r="D1289" s="583"/>
      <c r="E1289" s="520" t="s">
        <v>4496</v>
      </c>
      <c r="F1289" s="513" t="s">
        <v>4515</v>
      </c>
      <c r="G1289" s="513" t="s">
        <v>4468</v>
      </c>
      <c r="H1289" s="541" t="s">
        <v>4487</v>
      </c>
      <c r="I1289" s="513" t="s">
        <v>5118</v>
      </c>
      <c r="J1289" s="513" t="s">
        <v>5123</v>
      </c>
      <c r="K1289" s="516">
        <v>23500</v>
      </c>
      <c r="L1289" s="543">
        <v>56.753</v>
      </c>
      <c r="M1289" s="516">
        <f t="shared" si="102"/>
        <v>414.07502687082621</v>
      </c>
      <c r="N1289" s="587">
        <v>60</v>
      </c>
      <c r="O1289" s="588">
        <f t="shared" si="103"/>
        <v>391.66666666666669</v>
      </c>
      <c r="P1289" s="544">
        <f t="shared" ca="1" si="105"/>
        <v>20</v>
      </c>
      <c r="Q1289" s="552">
        <f t="shared" ca="1" si="104"/>
        <v>15666.666666666666</v>
      </c>
      <c r="R1289" s="563">
        <f t="shared" ca="1" si="106"/>
        <v>15666.666666666666</v>
      </c>
      <c r="S1289" s="513" t="s">
        <v>4344</v>
      </c>
    </row>
    <row r="1290" spans="2:19" ht="63" customHeight="1" x14ac:dyDescent="0.25">
      <c r="B1290" s="861">
        <v>45247</v>
      </c>
      <c r="C1290" s="583">
        <v>45280</v>
      </c>
      <c r="D1290" s="583"/>
      <c r="E1290" s="520" t="s">
        <v>4496</v>
      </c>
      <c r="F1290" s="513" t="s">
        <v>4516</v>
      </c>
      <c r="G1290" s="513" t="s">
        <v>4468</v>
      </c>
      <c r="H1290" s="541" t="s">
        <v>4488</v>
      </c>
      <c r="I1290" s="513" t="s">
        <v>5118</v>
      </c>
      <c r="J1290" s="513" t="s">
        <v>5123</v>
      </c>
      <c r="K1290" s="516">
        <v>23500</v>
      </c>
      <c r="L1290" s="543">
        <v>56.753</v>
      </c>
      <c r="M1290" s="516">
        <f t="shared" si="102"/>
        <v>414.07502687082621</v>
      </c>
      <c r="N1290" s="587">
        <v>60</v>
      </c>
      <c r="O1290" s="588">
        <f t="shared" si="103"/>
        <v>391.66666666666669</v>
      </c>
      <c r="P1290" s="544">
        <f t="shared" ca="1" si="105"/>
        <v>20</v>
      </c>
      <c r="Q1290" s="552">
        <f t="shared" ca="1" si="104"/>
        <v>15666.666666666666</v>
      </c>
      <c r="R1290" s="563">
        <f t="shared" ca="1" si="106"/>
        <v>15666.666666666666</v>
      </c>
      <c r="S1290" s="513" t="s">
        <v>4344</v>
      </c>
    </row>
    <row r="1291" spans="2:19" ht="76.5" customHeight="1" x14ac:dyDescent="0.25">
      <c r="B1291" s="861">
        <v>45247</v>
      </c>
      <c r="C1291" s="583">
        <v>45280</v>
      </c>
      <c r="D1291" s="583"/>
      <c r="E1291" s="520" t="s">
        <v>4496</v>
      </c>
      <c r="F1291" s="513" t="s">
        <v>4517</v>
      </c>
      <c r="G1291" s="513" t="s">
        <v>4468</v>
      </c>
      <c r="H1291" s="541" t="s">
        <v>4489</v>
      </c>
      <c r="I1291" s="513" t="s">
        <v>4988</v>
      </c>
      <c r="J1291" s="513" t="s">
        <v>4992</v>
      </c>
      <c r="K1291" s="516">
        <v>23500</v>
      </c>
      <c r="L1291" s="543">
        <v>56.753</v>
      </c>
      <c r="M1291" s="516">
        <f t="shared" si="102"/>
        <v>414.07502687082621</v>
      </c>
      <c r="N1291" s="587">
        <v>60</v>
      </c>
      <c r="O1291" s="588">
        <f t="shared" si="103"/>
        <v>391.66666666666669</v>
      </c>
      <c r="P1291" s="544">
        <f t="shared" ca="1" si="105"/>
        <v>20</v>
      </c>
      <c r="Q1291" s="552">
        <f t="shared" ca="1" si="104"/>
        <v>15666.666666666666</v>
      </c>
      <c r="R1291" s="563">
        <f t="shared" ca="1" si="106"/>
        <v>15666.666666666666</v>
      </c>
      <c r="S1291" s="513" t="s">
        <v>4344</v>
      </c>
    </row>
    <row r="1292" spans="2:19" ht="63" customHeight="1" x14ac:dyDescent="0.25">
      <c r="B1292" s="861">
        <v>45247</v>
      </c>
      <c r="C1292" s="583">
        <v>45280</v>
      </c>
      <c r="D1292" s="583"/>
      <c r="E1292" s="520" t="s">
        <v>4496</v>
      </c>
      <c r="F1292" s="513" t="s">
        <v>4518</v>
      </c>
      <c r="G1292" s="513" t="s">
        <v>4468</v>
      </c>
      <c r="H1292" s="541" t="s">
        <v>4490</v>
      </c>
      <c r="I1292" s="513" t="s">
        <v>4988</v>
      </c>
      <c r="J1292" s="513" t="s">
        <v>4992</v>
      </c>
      <c r="K1292" s="516">
        <v>23500</v>
      </c>
      <c r="L1292" s="543">
        <v>56.753</v>
      </c>
      <c r="M1292" s="516">
        <f t="shared" si="102"/>
        <v>414.07502687082621</v>
      </c>
      <c r="N1292" s="587">
        <v>60</v>
      </c>
      <c r="O1292" s="588">
        <f t="shared" si="103"/>
        <v>391.66666666666669</v>
      </c>
      <c r="P1292" s="544">
        <f t="shared" ca="1" si="105"/>
        <v>20</v>
      </c>
      <c r="Q1292" s="552">
        <f t="shared" ca="1" si="104"/>
        <v>15666.666666666666</v>
      </c>
      <c r="R1292" s="563">
        <f t="shared" ca="1" si="106"/>
        <v>15666.666666666666</v>
      </c>
      <c r="S1292" s="513" t="s">
        <v>4344</v>
      </c>
    </row>
    <row r="1293" spans="2:19" ht="63" customHeight="1" x14ac:dyDescent="0.25">
      <c r="B1293" s="861">
        <v>45247</v>
      </c>
      <c r="C1293" s="583">
        <v>45280</v>
      </c>
      <c r="D1293" s="583"/>
      <c r="E1293" s="520" t="s">
        <v>4496</v>
      </c>
      <c r="F1293" s="513" t="s">
        <v>4519</v>
      </c>
      <c r="G1293" s="513" t="s">
        <v>4468</v>
      </c>
      <c r="H1293" s="541" t="s">
        <v>4491</v>
      </c>
      <c r="I1293" s="513" t="s">
        <v>4989</v>
      </c>
      <c r="J1293" s="513" t="s">
        <v>4994</v>
      </c>
      <c r="K1293" s="516">
        <v>23500</v>
      </c>
      <c r="L1293" s="543">
        <v>56.753</v>
      </c>
      <c r="M1293" s="516">
        <f t="shared" si="102"/>
        <v>414.07502687082621</v>
      </c>
      <c r="N1293" s="587">
        <v>60</v>
      </c>
      <c r="O1293" s="588">
        <f t="shared" si="103"/>
        <v>391.66666666666669</v>
      </c>
      <c r="P1293" s="544">
        <f t="shared" ca="1" si="105"/>
        <v>20</v>
      </c>
      <c r="Q1293" s="552">
        <f t="shared" ca="1" si="104"/>
        <v>15666.666666666666</v>
      </c>
      <c r="R1293" s="563">
        <f t="shared" ca="1" si="106"/>
        <v>15666.666666666666</v>
      </c>
      <c r="S1293" s="513" t="s">
        <v>4344</v>
      </c>
    </row>
    <row r="1294" spans="2:19" ht="63" customHeight="1" x14ac:dyDescent="0.25">
      <c r="B1294" s="861">
        <v>45247</v>
      </c>
      <c r="C1294" s="583">
        <v>45280</v>
      </c>
      <c r="D1294" s="583"/>
      <c r="E1294" s="520" t="s">
        <v>4496</v>
      </c>
      <c r="F1294" s="513" t="s">
        <v>4520</v>
      </c>
      <c r="G1294" s="513" t="s">
        <v>4468</v>
      </c>
      <c r="H1294" s="541" t="s">
        <v>4492</v>
      </c>
      <c r="I1294" s="513" t="s">
        <v>5121</v>
      </c>
      <c r="J1294" s="513" t="s">
        <v>5122</v>
      </c>
      <c r="K1294" s="516">
        <v>23500</v>
      </c>
      <c r="L1294" s="543">
        <v>56.753</v>
      </c>
      <c r="M1294" s="516">
        <f t="shared" ref="M1294:M1357" si="107">+K1294/L1294</f>
        <v>414.07502687082621</v>
      </c>
      <c r="N1294" s="587">
        <v>60</v>
      </c>
      <c r="O1294" s="588">
        <f t="shared" si="103"/>
        <v>391.66666666666669</v>
      </c>
      <c r="P1294" s="544">
        <f t="shared" ca="1" si="105"/>
        <v>20</v>
      </c>
      <c r="Q1294" s="552">
        <f t="shared" ca="1" si="104"/>
        <v>15666.666666666666</v>
      </c>
      <c r="R1294" s="563">
        <f t="shared" ca="1" si="106"/>
        <v>15666.666666666666</v>
      </c>
      <c r="S1294" s="513" t="s">
        <v>4344</v>
      </c>
    </row>
    <row r="1295" spans="2:19" ht="63" customHeight="1" x14ac:dyDescent="0.25">
      <c r="B1295" s="861">
        <v>45247</v>
      </c>
      <c r="C1295" s="583">
        <v>45280</v>
      </c>
      <c r="D1295" s="583"/>
      <c r="E1295" s="520" t="s">
        <v>4496</v>
      </c>
      <c r="F1295" s="513" t="s">
        <v>4521</v>
      </c>
      <c r="G1295" s="513" t="s">
        <v>4468</v>
      </c>
      <c r="H1295" s="541" t="s">
        <v>4493</v>
      </c>
      <c r="I1295" s="513" t="s">
        <v>4989</v>
      </c>
      <c r="J1295" s="513" t="s">
        <v>4994</v>
      </c>
      <c r="K1295" s="516">
        <v>23500</v>
      </c>
      <c r="L1295" s="543">
        <v>56.753</v>
      </c>
      <c r="M1295" s="516">
        <f t="shared" si="107"/>
        <v>414.07502687082621</v>
      </c>
      <c r="N1295" s="587">
        <v>60</v>
      </c>
      <c r="O1295" s="588">
        <f t="shared" si="103"/>
        <v>391.66666666666669</v>
      </c>
      <c r="P1295" s="544">
        <f t="shared" ca="1" si="105"/>
        <v>20</v>
      </c>
      <c r="Q1295" s="552">
        <f t="shared" ca="1" si="104"/>
        <v>15666.666666666666</v>
      </c>
      <c r="R1295" s="563">
        <f t="shared" ca="1" si="106"/>
        <v>15666.666666666666</v>
      </c>
      <c r="S1295" s="513" t="s">
        <v>4344</v>
      </c>
    </row>
    <row r="1296" spans="2:19" ht="63" customHeight="1" x14ac:dyDescent="0.25">
      <c r="B1296" s="861">
        <v>45247</v>
      </c>
      <c r="C1296" s="583">
        <v>45280</v>
      </c>
      <c r="D1296" s="583"/>
      <c r="E1296" s="520" t="s">
        <v>4496</v>
      </c>
      <c r="F1296" s="513" t="s">
        <v>4522</v>
      </c>
      <c r="G1296" s="513" t="s">
        <v>4468</v>
      </c>
      <c r="H1296" s="541" t="s">
        <v>4494</v>
      </c>
      <c r="I1296" s="513" t="s">
        <v>4991</v>
      </c>
      <c r="J1296" s="513" t="s">
        <v>4996</v>
      </c>
      <c r="K1296" s="516">
        <v>23500</v>
      </c>
      <c r="L1296" s="543">
        <v>56.753</v>
      </c>
      <c r="M1296" s="516">
        <f t="shared" si="107"/>
        <v>414.07502687082621</v>
      </c>
      <c r="N1296" s="587">
        <v>60</v>
      </c>
      <c r="O1296" s="588">
        <f t="shared" si="103"/>
        <v>391.66666666666669</v>
      </c>
      <c r="P1296" s="544">
        <f t="shared" ca="1" si="105"/>
        <v>20</v>
      </c>
      <c r="Q1296" s="552">
        <f t="shared" ca="1" si="104"/>
        <v>15666.666666666666</v>
      </c>
      <c r="R1296" s="563">
        <f t="shared" ca="1" si="106"/>
        <v>15666.666666666666</v>
      </c>
      <c r="S1296" s="513" t="s">
        <v>4344</v>
      </c>
    </row>
    <row r="1297" spans="2:19" ht="63" customHeight="1" x14ac:dyDescent="0.25">
      <c r="B1297" s="861">
        <v>45247</v>
      </c>
      <c r="C1297" s="583">
        <v>45280</v>
      </c>
      <c r="D1297" s="583"/>
      <c r="E1297" s="520" t="s">
        <v>4496</v>
      </c>
      <c r="F1297" s="513" t="s">
        <v>4523</v>
      </c>
      <c r="G1297" s="513" t="s">
        <v>4468</v>
      </c>
      <c r="H1297" s="541" t="s">
        <v>4495</v>
      </c>
      <c r="I1297" s="513" t="s">
        <v>5118</v>
      </c>
      <c r="J1297" s="513" t="s">
        <v>5119</v>
      </c>
      <c r="K1297" s="516">
        <v>23500</v>
      </c>
      <c r="L1297" s="543">
        <v>56.753</v>
      </c>
      <c r="M1297" s="516">
        <f t="shared" si="107"/>
        <v>414.07502687082621</v>
      </c>
      <c r="N1297" s="587">
        <v>60</v>
      </c>
      <c r="O1297" s="588">
        <f t="shared" si="103"/>
        <v>391.66666666666669</v>
      </c>
      <c r="P1297" s="544">
        <f t="shared" ca="1" si="105"/>
        <v>20</v>
      </c>
      <c r="Q1297" s="552">
        <f t="shared" ca="1" si="104"/>
        <v>15666.666666666666</v>
      </c>
      <c r="R1297" s="563">
        <f t="shared" ca="1" si="106"/>
        <v>15666.666666666666</v>
      </c>
      <c r="S1297" s="513" t="s">
        <v>4344</v>
      </c>
    </row>
    <row r="1298" spans="2:19" ht="46.5" customHeight="1" x14ac:dyDescent="0.25">
      <c r="B1298" s="862">
        <v>45330</v>
      </c>
      <c r="C1298" s="685">
        <v>45461</v>
      </c>
      <c r="D1298" s="685"/>
      <c r="E1298" s="520" t="s">
        <v>5201</v>
      </c>
      <c r="F1298" s="513" t="s">
        <v>5183</v>
      </c>
      <c r="G1298" s="759" t="s">
        <v>5202</v>
      </c>
      <c r="H1298" s="541" t="s">
        <v>5204</v>
      </c>
      <c r="I1298" t="s">
        <v>6016</v>
      </c>
      <c r="J1298" s="686" t="s">
        <v>6017</v>
      </c>
      <c r="K1298" s="684">
        <v>3276.24</v>
      </c>
      <c r="L1298" s="543">
        <v>58.453899999999997</v>
      </c>
      <c r="M1298" s="516">
        <f t="shared" si="107"/>
        <v>56.048270517450504</v>
      </c>
      <c r="N1298" s="587">
        <v>60</v>
      </c>
      <c r="O1298" s="588">
        <f t="shared" si="103"/>
        <v>54.603999999999999</v>
      </c>
      <c r="P1298" s="682">
        <f t="shared" ca="1" si="105"/>
        <v>17</v>
      </c>
      <c r="Q1298" s="552">
        <f t="shared" ca="1" si="104"/>
        <v>2347.9719999999998</v>
      </c>
      <c r="R1298" s="563">
        <f t="shared" ca="1" si="106"/>
        <v>2347.9719999999998</v>
      </c>
      <c r="S1298" s="513" t="s">
        <v>5400</v>
      </c>
    </row>
    <row r="1299" spans="2:19" ht="50.1" customHeight="1" x14ac:dyDescent="0.25">
      <c r="B1299" s="862">
        <v>45330</v>
      </c>
      <c r="C1299" s="685">
        <v>45461</v>
      </c>
      <c r="D1299" s="685"/>
      <c r="E1299" s="520" t="s">
        <v>5201</v>
      </c>
      <c r="F1299" s="513" t="s">
        <v>5141</v>
      </c>
      <c r="G1299" s="759" t="s">
        <v>5202</v>
      </c>
      <c r="H1299" s="541" t="s">
        <v>5205</v>
      </c>
      <c r="I1299" t="s">
        <v>6016</v>
      </c>
      <c r="J1299" s="686" t="s">
        <v>6017</v>
      </c>
      <c r="K1299" s="684">
        <v>3276.24</v>
      </c>
      <c r="L1299" s="543">
        <v>58.453899999999997</v>
      </c>
      <c r="M1299" s="516">
        <f t="shared" si="107"/>
        <v>56.048270517450504</v>
      </c>
      <c r="N1299" s="587">
        <v>60</v>
      </c>
      <c r="O1299" s="588">
        <f t="shared" si="103"/>
        <v>54.603999999999999</v>
      </c>
      <c r="P1299" s="682">
        <f t="shared" ca="1" si="105"/>
        <v>17</v>
      </c>
      <c r="Q1299" s="552">
        <f t="shared" ca="1" si="104"/>
        <v>2347.9719999999998</v>
      </c>
      <c r="R1299" s="563">
        <f t="shared" ca="1" si="106"/>
        <v>2347.9719999999998</v>
      </c>
      <c r="S1299" s="513" t="s">
        <v>5400</v>
      </c>
    </row>
    <row r="1300" spans="2:19" ht="50.1" customHeight="1" x14ac:dyDescent="0.25">
      <c r="B1300" s="862">
        <v>45330</v>
      </c>
      <c r="C1300" s="685">
        <v>45461</v>
      </c>
      <c r="D1300" s="685"/>
      <c r="E1300" s="520" t="s">
        <v>5201</v>
      </c>
      <c r="F1300" s="513" t="s">
        <v>5142</v>
      </c>
      <c r="G1300" s="759" t="s">
        <v>5202</v>
      </c>
      <c r="H1300" s="541" t="s">
        <v>5206</v>
      </c>
      <c r="I1300" t="s">
        <v>6016</v>
      </c>
      <c r="J1300" s="686" t="s">
        <v>6017</v>
      </c>
      <c r="K1300" s="684">
        <v>3276.24</v>
      </c>
      <c r="L1300" s="543">
        <v>58.453899999999997</v>
      </c>
      <c r="M1300" s="516">
        <f t="shared" si="107"/>
        <v>56.048270517450504</v>
      </c>
      <c r="N1300" s="587">
        <v>60</v>
      </c>
      <c r="O1300" s="588">
        <f t="shared" si="103"/>
        <v>54.603999999999999</v>
      </c>
      <c r="P1300" s="682">
        <f t="shared" ca="1" si="105"/>
        <v>17</v>
      </c>
      <c r="Q1300" s="552">
        <f t="shared" ca="1" si="104"/>
        <v>2347.9719999999998</v>
      </c>
      <c r="R1300" s="563">
        <f t="shared" ca="1" si="106"/>
        <v>2347.9719999999998</v>
      </c>
      <c r="S1300" s="513" t="s">
        <v>5400</v>
      </c>
    </row>
    <row r="1301" spans="2:19" ht="50.1" customHeight="1" x14ac:dyDescent="0.25">
      <c r="B1301" s="862">
        <v>45330</v>
      </c>
      <c r="C1301" s="685">
        <v>45461</v>
      </c>
      <c r="D1301" s="685"/>
      <c r="E1301" s="520" t="s">
        <v>5201</v>
      </c>
      <c r="F1301" s="513" t="s">
        <v>5143</v>
      </c>
      <c r="G1301" s="759" t="s">
        <v>5202</v>
      </c>
      <c r="H1301" s="541" t="s">
        <v>5207</v>
      </c>
      <c r="I1301" t="s">
        <v>6016</v>
      </c>
      <c r="J1301" s="686" t="s">
        <v>6017</v>
      </c>
      <c r="K1301" s="684">
        <v>3276.24</v>
      </c>
      <c r="L1301" s="543">
        <v>58.453899999999997</v>
      </c>
      <c r="M1301" s="516">
        <f t="shared" si="107"/>
        <v>56.048270517450504</v>
      </c>
      <c r="N1301" s="587">
        <v>60</v>
      </c>
      <c r="O1301" s="588">
        <f t="shared" si="103"/>
        <v>54.603999999999999</v>
      </c>
      <c r="P1301" s="682">
        <f t="shared" ca="1" si="105"/>
        <v>17</v>
      </c>
      <c r="Q1301" s="552">
        <f t="shared" ca="1" si="104"/>
        <v>2347.9719999999998</v>
      </c>
      <c r="R1301" s="563">
        <f t="shared" ca="1" si="106"/>
        <v>2347.9719999999998</v>
      </c>
      <c r="S1301" s="513" t="s">
        <v>5400</v>
      </c>
    </row>
    <row r="1302" spans="2:19" ht="50.1" customHeight="1" x14ac:dyDescent="0.25">
      <c r="B1302" s="862">
        <v>45330</v>
      </c>
      <c r="C1302" s="685">
        <v>45461</v>
      </c>
      <c r="D1302" s="685"/>
      <c r="E1302" s="520" t="s">
        <v>5201</v>
      </c>
      <c r="F1302" s="513" t="s">
        <v>5144</v>
      </c>
      <c r="G1302" s="759" t="s">
        <v>5202</v>
      </c>
      <c r="H1302" s="541" t="s">
        <v>5208</v>
      </c>
      <c r="I1302" t="s">
        <v>6016</v>
      </c>
      <c r="J1302" s="686" t="s">
        <v>6017</v>
      </c>
      <c r="K1302" s="684">
        <v>3276.24</v>
      </c>
      <c r="L1302" s="543">
        <v>58.453899999999997</v>
      </c>
      <c r="M1302" s="516">
        <f t="shared" si="107"/>
        <v>56.048270517450504</v>
      </c>
      <c r="N1302" s="587">
        <v>60</v>
      </c>
      <c r="O1302" s="588">
        <f t="shared" si="103"/>
        <v>54.603999999999999</v>
      </c>
      <c r="P1302" s="682">
        <f t="shared" ca="1" si="105"/>
        <v>17</v>
      </c>
      <c r="Q1302" s="552">
        <f t="shared" ca="1" si="104"/>
        <v>2347.9719999999998</v>
      </c>
      <c r="R1302" s="563">
        <f t="shared" ca="1" si="106"/>
        <v>2347.9719999999998</v>
      </c>
      <c r="S1302" s="513" t="s">
        <v>5400</v>
      </c>
    </row>
    <row r="1303" spans="2:19" ht="50.1" customHeight="1" x14ac:dyDescent="0.25">
      <c r="B1303" s="862">
        <v>45330</v>
      </c>
      <c r="C1303" s="685">
        <v>45461</v>
      </c>
      <c r="D1303" s="685"/>
      <c r="E1303" s="520" t="s">
        <v>5201</v>
      </c>
      <c r="F1303" s="513" t="s">
        <v>5145</v>
      </c>
      <c r="G1303" s="759" t="s">
        <v>5202</v>
      </c>
      <c r="H1303" s="541" t="s">
        <v>5209</v>
      </c>
      <c r="I1303" t="s">
        <v>6016</v>
      </c>
      <c r="J1303" s="686" t="s">
        <v>6017</v>
      </c>
      <c r="K1303" s="684">
        <v>3276.24</v>
      </c>
      <c r="L1303" s="543">
        <v>58.453899999999997</v>
      </c>
      <c r="M1303" s="516">
        <f t="shared" si="107"/>
        <v>56.048270517450504</v>
      </c>
      <c r="N1303" s="587">
        <v>60</v>
      </c>
      <c r="O1303" s="588">
        <f t="shared" si="103"/>
        <v>54.603999999999999</v>
      </c>
      <c r="P1303" s="682">
        <f t="shared" ca="1" si="105"/>
        <v>17</v>
      </c>
      <c r="Q1303" s="552">
        <f t="shared" ca="1" si="104"/>
        <v>2347.9719999999998</v>
      </c>
      <c r="R1303" s="563">
        <f t="shared" ca="1" si="106"/>
        <v>2347.9719999999998</v>
      </c>
      <c r="S1303" s="513" t="s">
        <v>5400</v>
      </c>
    </row>
    <row r="1304" spans="2:19" ht="50.1" customHeight="1" x14ac:dyDescent="0.25">
      <c r="B1304" s="862">
        <v>45330</v>
      </c>
      <c r="C1304" s="685">
        <v>45461</v>
      </c>
      <c r="D1304" s="685"/>
      <c r="E1304" s="520" t="s">
        <v>5201</v>
      </c>
      <c r="F1304" s="513" t="s">
        <v>5146</v>
      </c>
      <c r="G1304" s="759" t="s">
        <v>5202</v>
      </c>
      <c r="H1304" s="541" t="s">
        <v>5210</v>
      </c>
      <c r="I1304" t="s">
        <v>6016</v>
      </c>
      <c r="J1304" s="686" t="s">
        <v>6017</v>
      </c>
      <c r="K1304" s="684">
        <v>3276.24</v>
      </c>
      <c r="L1304" s="543">
        <v>58.453899999999997</v>
      </c>
      <c r="M1304" s="516">
        <f t="shared" si="107"/>
        <v>56.048270517450504</v>
      </c>
      <c r="N1304" s="587">
        <v>60</v>
      </c>
      <c r="O1304" s="588">
        <f t="shared" si="103"/>
        <v>54.603999999999999</v>
      </c>
      <c r="P1304" s="682">
        <f t="shared" ca="1" si="105"/>
        <v>17</v>
      </c>
      <c r="Q1304" s="552">
        <f t="shared" ca="1" si="104"/>
        <v>2347.9719999999998</v>
      </c>
      <c r="R1304" s="563">
        <f t="shared" ca="1" si="106"/>
        <v>2347.9719999999998</v>
      </c>
      <c r="S1304" s="513" t="s">
        <v>5400</v>
      </c>
    </row>
    <row r="1305" spans="2:19" ht="50.1" customHeight="1" x14ac:dyDescent="0.25">
      <c r="B1305" s="862">
        <v>45330</v>
      </c>
      <c r="C1305" s="685">
        <v>45461</v>
      </c>
      <c r="D1305" s="685"/>
      <c r="E1305" s="520" t="s">
        <v>5201</v>
      </c>
      <c r="F1305" s="513" t="s">
        <v>5147</v>
      </c>
      <c r="G1305" s="759" t="s">
        <v>5202</v>
      </c>
      <c r="H1305" s="541" t="s">
        <v>5211</v>
      </c>
      <c r="I1305" t="s">
        <v>6016</v>
      </c>
      <c r="J1305" s="686" t="s">
        <v>6017</v>
      </c>
      <c r="K1305" s="684">
        <v>3276.24</v>
      </c>
      <c r="L1305" s="543">
        <v>58.453899999999997</v>
      </c>
      <c r="M1305" s="516">
        <f t="shared" si="107"/>
        <v>56.048270517450504</v>
      </c>
      <c r="N1305" s="587">
        <v>60</v>
      </c>
      <c r="O1305" s="588">
        <f t="shared" si="103"/>
        <v>54.603999999999999</v>
      </c>
      <c r="P1305" s="682">
        <f t="shared" ca="1" si="105"/>
        <v>17</v>
      </c>
      <c r="Q1305" s="552">
        <f t="shared" ca="1" si="104"/>
        <v>2347.9719999999998</v>
      </c>
      <c r="R1305" s="563">
        <f t="shared" ca="1" si="106"/>
        <v>2347.9719999999998</v>
      </c>
      <c r="S1305" s="513" t="s">
        <v>5400</v>
      </c>
    </row>
    <row r="1306" spans="2:19" ht="50.1" customHeight="1" x14ac:dyDescent="0.25">
      <c r="B1306" s="862">
        <v>45330</v>
      </c>
      <c r="C1306" s="685">
        <v>45461</v>
      </c>
      <c r="D1306" s="685"/>
      <c r="E1306" s="520" t="s">
        <v>5201</v>
      </c>
      <c r="F1306" s="513" t="s">
        <v>5148</v>
      </c>
      <c r="G1306" s="759" t="s">
        <v>5202</v>
      </c>
      <c r="H1306" s="541" t="s">
        <v>5212</v>
      </c>
      <c r="I1306" t="s">
        <v>6016</v>
      </c>
      <c r="J1306" s="686" t="s">
        <v>6017</v>
      </c>
      <c r="K1306" s="684">
        <v>3276.24</v>
      </c>
      <c r="L1306" s="543">
        <v>58.453899999999997</v>
      </c>
      <c r="M1306" s="516">
        <f t="shared" si="107"/>
        <v>56.048270517450504</v>
      </c>
      <c r="N1306" s="587">
        <v>60</v>
      </c>
      <c r="O1306" s="588">
        <f t="shared" si="103"/>
        <v>54.603999999999999</v>
      </c>
      <c r="P1306" s="682">
        <f t="shared" ca="1" si="105"/>
        <v>17</v>
      </c>
      <c r="Q1306" s="552">
        <f t="shared" ca="1" si="104"/>
        <v>2347.9719999999998</v>
      </c>
      <c r="R1306" s="563">
        <f t="shared" ca="1" si="106"/>
        <v>2347.9719999999998</v>
      </c>
      <c r="S1306" s="513" t="s">
        <v>5400</v>
      </c>
    </row>
    <row r="1307" spans="2:19" ht="50.1" customHeight="1" x14ac:dyDescent="0.25">
      <c r="B1307" s="862">
        <v>45330</v>
      </c>
      <c r="C1307" s="685">
        <v>45461</v>
      </c>
      <c r="D1307" s="685"/>
      <c r="E1307" s="520" t="s">
        <v>5201</v>
      </c>
      <c r="F1307" s="513" t="s">
        <v>5149</v>
      </c>
      <c r="G1307" s="759" t="s">
        <v>5202</v>
      </c>
      <c r="H1307" s="541" t="s">
        <v>5213</v>
      </c>
      <c r="I1307" t="s">
        <v>6016</v>
      </c>
      <c r="J1307" s="686" t="s">
        <v>6017</v>
      </c>
      <c r="K1307" s="684">
        <v>3276.24</v>
      </c>
      <c r="L1307" s="543">
        <v>58.453899999999997</v>
      </c>
      <c r="M1307" s="516">
        <f t="shared" si="107"/>
        <v>56.048270517450504</v>
      </c>
      <c r="N1307" s="587">
        <v>60</v>
      </c>
      <c r="O1307" s="588">
        <f t="shared" si="103"/>
        <v>54.603999999999999</v>
      </c>
      <c r="P1307" s="682">
        <f t="shared" ca="1" si="105"/>
        <v>17</v>
      </c>
      <c r="Q1307" s="552">
        <f t="shared" ca="1" si="104"/>
        <v>2347.9719999999998</v>
      </c>
      <c r="R1307" s="563">
        <f t="shared" ca="1" si="106"/>
        <v>2347.9719999999998</v>
      </c>
      <c r="S1307" s="513" t="s">
        <v>5400</v>
      </c>
    </row>
    <row r="1308" spans="2:19" ht="50.1" customHeight="1" x14ac:dyDescent="0.25">
      <c r="B1308" s="862">
        <v>45330</v>
      </c>
      <c r="C1308" s="685">
        <v>45461</v>
      </c>
      <c r="D1308" s="685"/>
      <c r="E1308" s="520" t="s">
        <v>5201</v>
      </c>
      <c r="F1308" s="513" t="s">
        <v>5150</v>
      </c>
      <c r="G1308" s="759" t="s">
        <v>5202</v>
      </c>
      <c r="H1308" s="541" t="s">
        <v>5214</v>
      </c>
      <c r="I1308" t="s">
        <v>6016</v>
      </c>
      <c r="J1308" s="686" t="s">
        <v>6017</v>
      </c>
      <c r="K1308" s="684">
        <v>3276.24</v>
      </c>
      <c r="L1308" s="543">
        <v>58.453899999999997</v>
      </c>
      <c r="M1308" s="516">
        <f t="shared" si="107"/>
        <v>56.048270517450504</v>
      </c>
      <c r="N1308" s="587">
        <v>60</v>
      </c>
      <c r="O1308" s="588">
        <f t="shared" si="103"/>
        <v>54.603999999999999</v>
      </c>
      <c r="P1308" s="682">
        <f t="shared" ca="1" si="105"/>
        <v>17</v>
      </c>
      <c r="Q1308" s="552">
        <f t="shared" ca="1" si="104"/>
        <v>2347.9719999999998</v>
      </c>
      <c r="R1308" s="563">
        <f t="shared" ca="1" si="106"/>
        <v>2347.9719999999998</v>
      </c>
      <c r="S1308" s="513" t="s">
        <v>5400</v>
      </c>
    </row>
    <row r="1309" spans="2:19" ht="50.1" customHeight="1" x14ac:dyDescent="0.25">
      <c r="B1309" s="862">
        <v>45330</v>
      </c>
      <c r="C1309" s="685">
        <v>45461</v>
      </c>
      <c r="D1309" s="685"/>
      <c r="E1309" s="520" t="s">
        <v>5201</v>
      </c>
      <c r="F1309" s="513" t="s">
        <v>5151</v>
      </c>
      <c r="G1309" s="759" t="s">
        <v>5202</v>
      </c>
      <c r="H1309" s="541" t="s">
        <v>5215</v>
      </c>
      <c r="I1309" t="s">
        <v>6016</v>
      </c>
      <c r="J1309" s="686" t="s">
        <v>6017</v>
      </c>
      <c r="K1309" s="684">
        <v>3276.24</v>
      </c>
      <c r="L1309" s="543">
        <v>58.453899999999997</v>
      </c>
      <c r="M1309" s="516">
        <f t="shared" si="107"/>
        <v>56.048270517450504</v>
      </c>
      <c r="N1309" s="587">
        <v>60</v>
      </c>
      <c r="O1309" s="588">
        <f t="shared" si="103"/>
        <v>54.603999999999999</v>
      </c>
      <c r="P1309" s="682">
        <f t="shared" ca="1" si="105"/>
        <v>17</v>
      </c>
      <c r="Q1309" s="552">
        <f t="shared" ca="1" si="104"/>
        <v>2347.9719999999998</v>
      </c>
      <c r="R1309" s="563">
        <f t="shared" ca="1" si="106"/>
        <v>2347.9719999999998</v>
      </c>
      <c r="S1309" s="513" t="s">
        <v>5400</v>
      </c>
    </row>
    <row r="1310" spans="2:19" ht="50.1" customHeight="1" x14ac:dyDescent="0.25">
      <c r="B1310" s="862">
        <v>45330</v>
      </c>
      <c r="C1310" s="685">
        <v>45461</v>
      </c>
      <c r="D1310" s="685"/>
      <c r="E1310" s="520" t="s">
        <v>5201</v>
      </c>
      <c r="F1310" s="513" t="s">
        <v>5152</v>
      </c>
      <c r="G1310" s="759" t="s">
        <v>5202</v>
      </c>
      <c r="H1310" s="541" t="s">
        <v>5216</v>
      </c>
      <c r="I1310" t="s">
        <v>6016</v>
      </c>
      <c r="J1310" s="686" t="s">
        <v>6017</v>
      </c>
      <c r="K1310" s="684">
        <v>3276.24</v>
      </c>
      <c r="L1310" s="543">
        <v>58.453899999999997</v>
      </c>
      <c r="M1310" s="516">
        <f t="shared" si="107"/>
        <v>56.048270517450504</v>
      </c>
      <c r="N1310" s="587">
        <v>60</v>
      </c>
      <c r="O1310" s="588">
        <f t="shared" si="103"/>
        <v>54.603999999999999</v>
      </c>
      <c r="P1310" s="682">
        <f t="shared" ca="1" si="105"/>
        <v>17</v>
      </c>
      <c r="Q1310" s="552">
        <f t="shared" ca="1" si="104"/>
        <v>2347.9719999999998</v>
      </c>
      <c r="R1310" s="563">
        <f t="shared" ca="1" si="106"/>
        <v>2347.9719999999998</v>
      </c>
      <c r="S1310" s="513" t="s">
        <v>5400</v>
      </c>
    </row>
    <row r="1311" spans="2:19" ht="50.1" customHeight="1" x14ac:dyDescent="0.25">
      <c r="B1311" s="862">
        <v>45330</v>
      </c>
      <c r="C1311" s="685">
        <v>45461</v>
      </c>
      <c r="D1311" s="685"/>
      <c r="E1311" s="520" t="s">
        <v>5201</v>
      </c>
      <c r="F1311" s="513" t="s">
        <v>5153</v>
      </c>
      <c r="G1311" s="759" t="s">
        <v>5202</v>
      </c>
      <c r="H1311" s="541" t="s">
        <v>5217</v>
      </c>
      <c r="I1311" t="s">
        <v>6016</v>
      </c>
      <c r="J1311" s="686" t="s">
        <v>6017</v>
      </c>
      <c r="K1311" s="684">
        <v>3276.24</v>
      </c>
      <c r="L1311" s="543">
        <v>58.453899999999997</v>
      </c>
      <c r="M1311" s="516">
        <f t="shared" si="107"/>
        <v>56.048270517450504</v>
      </c>
      <c r="N1311" s="587">
        <v>60</v>
      </c>
      <c r="O1311" s="588">
        <f t="shared" si="103"/>
        <v>54.603999999999999</v>
      </c>
      <c r="P1311" s="682">
        <f t="shared" ca="1" si="105"/>
        <v>17</v>
      </c>
      <c r="Q1311" s="552">
        <f t="shared" ca="1" si="104"/>
        <v>2347.9719999999998</v>
      </c>
      <c r="R1311" s="563">
        <f t="shared" ca="1" si="106"/>
        <v>2347.9719999999998</v>
      </c>
      <c r="S1311" s="513" t="s">
        <v>5400</v>
      </c>
    </row>
    <row r="1312" spans="2:19" ht="50.1" customHeight="1" x14ac:dyDescent="0.25">
      <c r="B1312" s="862">
        <v>45330</v>
      </c>
      <c r="C1312" s="685">
        <v>45461</v>
      </c>
      <c r="D1312" s="685"/>
      <c r="E1312" s="520" t="s">
        <v>5201</v>
      </c>
      <c r="F1312" s="513" t="s">
        <v>5154</v>
      </c>
      <c r="G1312" s="759" t="s">
        <v>5202</v>
      </c>
      <c r="H1312" s="541" t="s">
        <v>5218</v>
      </c>
      <c r="I1312" t="s">
        <v>6016</v>
      </c>
      <c r="J1312" s="686" t="s">
        <v>6017</v>
      </c>
      <c r="K1312" s="684">
        <v>3276.24</v>
      </c>
      <c r="L1312" s="543">
        <v>58.453899999999997</v>
      </c>
      <c r="M1312" s="516">
        <f t="shared" si="107"/>
        <v>56.048270517450504</v>
      </c>
      <c r="N1312" s="587">
        <v>60</v>
      </c>
      <c r="O1312" s="588">
        <f t="shared" si="103"/>
        <v>54.603999999999999</v>
      </c>
      <c r="P1312" s="682">
        <f t="shared" ca="1" si="105"/>
        <v>17</v>
      </c>
      <c r="Q1312" s="552">
        <f t="shared" ca="1" si="104"/>
        <v>2347.9719999999998</v>
      </c>
      <c r="R1312" s="563">
        <f t="shared" ca="1" si="106"/>
        <v>2347.9719999999998</v>
      </c>
      <c r="S1312" s="513" t="s">
        <v>5400</v>
      </c>
    </row>
    <row r="1313" spans="2:19" ht="50.1" customHeight="1" x14ac:dyDescent="0.25">
      <c r="B1313" s="862">
        <v>45330</v>
      </c>
      <c r="C1313" s="685">
        <v>45461</v>
      </c>
      <c r="D1313" s="685"/>
      <c r="E1313" s="520" t="s">
        <v>5201</v>
      </c>
      <c r="F1313" s="513" t="s">
        <v>5155</v>
      </c>
      <c r="G1313" s="759" t="s">
        <v>5202</v>
      </c>
      <c r="H1313" s="541" t="s">
        <v>5219</v>
      </c>
      <c r="I1313" t="s">
        <v>6016</v>
      </c>
      <c r="J1313" s="686" t="s">
        <v>6017</v>
      </c>
      <c r="K1313" s="684">
        <v>3276.24</v>
      </c>
      <c r="L1313" s="543">
        <v>58.453899999999997</v>
      </c>
      <c r="M1313" s="516">
        <f t="shared" si="107"/>
        <v>56.048270517450504</v>
      </c>
      <c r="N1313" s="587">
        <v>60</v>
      </c>
      <c r="O1313" s="588">
        <f t="shared" si="103"/>
        <v>54.603999999999999</v>
      </c>
      <c r="P1313" s="682">
        <f t="shared" ca="1" si="105"/>
        <v>17</v>
      </c>
      <c r="Q1313" s="552">
        <f t="shared" ca="1" si="104"/>
        <v>2347.9719999999998</v>
      </c>
      <c r="R1313" s="563">
        <f t="shared" ca="1" si="106"/>
        <v>2347.9719999999998</v>
      </c>
      <c r="S1313" s="513" t="s">
        <v>5400</v>
      </c>
    </row>
    <row r="1314" spans="2:19" ht="50.1" customHeight="1" x14ac:dyDescent="0.25">
      <c r="B1314" s="862">
        <v>45330</v>
      </c>
      <c r="C1314" s="685">
        <v>45461</v>
      </c>
      <c r="D1314" s="685"/>
      <c r="E1314" s="520" t="s">
        <v>5201</v>
      </c>
      <c r="F1314" s="513" t="s">
        <v>5156</v>
      </c>
      <c r="G1314" s="759" t="s">
        <v>5202</v>
      </c>
      <c r="H1314" s="541" t="s">
        <v>5220</v>
      </c>
      <c r="I1314" t="s">
        <v>6016</v>
      </c>
      <c r="J1314" s="686" t="s">
        <v>6017</v>
      </c>
      <c r="K1314" s="684">
        <v>3276.24</v>
      </c>
      <c r="L1314" s="543">
        <v>58.453899999999997</v>
      </c>
      <c r="M1314" s="516">
        <f t="shared" si="107"/>
        <v>56.048270517450504</v>
      </c>
      <c r="N1314" s="587">
        <v>60</v>
      </c>
      <c r="O1314" s="588">
        <f t="shared" si="103"/>
        <v>54.603999999999999</v>
      </c>
      <c r="P1314" s="682">
        <f t="shared" ca="1" si="105"/>
        <v>17</v>
      </c>
      <c r="Q1314" s="552">
        <f t="shared" ca="1" si="104"/>
        <v>2347.9719999999998</v>
      </c>
      <c r="R1314" s="563">
        <f t="shared" ca="1" si="106"/>
        <v>2347.9719999999998</v>
      </c>
      <c r="S1314" s="513" t="s">
        <v>5400</v>
      </c>
    </row>
    <row r="1315" spans="2:19" ht="50.1" customHeight="1" x14ac:dyDescent="0.25">
      <c r="B1315" s="862">
        <v>45330</v>
      </c>
      <c r="C1315" s="685">
        <v>45461</v>
      </c>
      <c r="D1315" s="685"/>
      <c r="E1315" s="520" t="s">
        <v>5201</v>
      </c>
      <c r="F1315" s="513" t="s">
        <v>5157</v>
      </c>
      <c r="G1315" s="759" t="s">
        <v>5202</v>
      </c>
      <c r="H1315" s="541" t="s">
        <v>5221</v>
      </c>
      <c r="I1315" t="s">
        <v>6016</v>
      </c>
      <c r="J1315" s="686" t="s">
        <v>6017</v>
      </c>
      <c r="K1315" s="684">
        <v>3276.24</v>
      </c>
      <c r="L1315" s="543">
        <v>58.453899999999997</v>
      </c>
      <c r="M1315" s="516">
        <f t="shared" si="107"/>
        <v>56.048270517450504</v>
      </c>
      <c r="N1315" s="587">
        <v>60</v>
      </c>
      <c r="O1315" s="588">
        <f t="shared" si="103"/>
        <v>54.603999999999999</v>
      </c>
      <c r="P1315" s="682">
        <f t="shared" ca="1" si="105"/>
        <v>17</v>
      </c>
      <c r="Q1315" s="552">
        <f t="shared" ca="1" si="104"/>
        <v>2347.9719999999998</v>
      </c>
      <c r="R1315" s="563">
        <f t="shared" ca="1" si="106"/>
        <v>2347.9719999999998</v>
      </c>
      <c r="S1315" s="513" t="s">
        <v>5400</v>
      </c>
    </row>
    <row r="1316" spans="2:19" ht="50.1" customHeight="1" x14ac:dyDescent="0.25">
      <c r="B1316" s="862">
        <v>45330</v>
      </c>
      <c r="C1316" s="685">
        <v>45461</v>
      </c>
      <c r="D1316" s="685"/>
      <c r="E1316" s="520" t="s">
        <v>5201</v>
      </c>
      <c r="F1316" s="513" t="s">
        <v>5158</v>
      </c>
      <c r="G1316" s="759" t="s">
        <v>5202</v>
      </c>
      <c r="H1316" s="541" t="s">
        <v>5222</v>
      </c>
      <c r="I1316" t="s">
        <v>6016</v>
      </c>
      <c r="J1316" s="686" t="s">
        <v>6017</v>
      </c>
      <c r="K1316" s="684">
        <v>3276.24</v>
      </c>
      <c r="L1316" s="543">
        <v>58.453899999999997</v>
      </c>
      <c r="M1316" s="516">
        <f t="shared" si="107"/>
        <v>56.048270517450504</v>
      </c>
      <c r="N1316" s="587">
        <v>60</v>
      </c>
      <c r="O1316" s="588">
        <f t="shared" si="103"/>
        <v>54.603999999999999</v>
      </c>
      <c r="P1316" s="682">
        <f t="shared" ca="1" si="105"/>
        <v>17</v>
      </c>
      <c r="Q1316" s="552">
        <f t="shared" ca="1" si="104"/>
        <v>2347.9719999999998</v>
      </c>
      <c r="R1316" s="563">
        <f t="shared" ca="1" si="106"/>
        <v>2347.9719999999998</v>
      </c>
      <c r="S1316" s="513" t="s">
        <v>5400</v>
      </c>
    </row>
    <row r="1317" spans="2:19" ht="50.1" customHeight="1" x14ac:dyDescent="0.25">
      <c r="B1317" s="862">
        <v>45330</v>
      </c>
      <c r="C1317" s="685">
        <v>45461</v>
      </c>
      <c r="D1317" s="685"/>
      <c r="E1317" s="520" t="s">
        <v>5201</v>
      </c>
      <c r="F1317" s="513" t="s">
        <v>5159</v>
      </c>
      <c r="G1317" s="759" t="s">
        <v>5202</v>
      </c>
      <c r="H1317" s="541" t="s">
        <v>5223</v>
      </c>
      <c r="I1317" t="s">
        <v>6016</v>
      </c>
      <c r="J1317" s="686" t="s">
        <v>6017</v>
      </c>
      <c r="K1317" s="684">
        <v>3276.24</v>
      </c>
      <c r="L1317" s="543">
        <v>58.453899999999997</v>
      </c>
      <c r="M1317" s="516">
        <f t="shared" si="107"/>
        <v>56.048270517450504</v>
      </c>
      <c r="N1317" s="587">
        <v>60</v>
      </c>
      <c r="O1317" s="588">
        <f t="shared" si="103"/>
        <v>54.603999999999999</v>
      </c>
      <c r="P1317" s="682">
        <f t="shared" ca="1" si="105"/>
        <v>17</v>
      </c>
      <c r="Q1317" s="552">
        <f t="shared" ca="1" si="104"/>
        <v>2347.9719999999998</v>
      </c>
      <c r="R1317" s="563">
        <f t="shared" ca="1" si="106"/>
        <v>2347.9719999999998</v>
      </c>
      <c r="S1317" s="513" t="s">
        <v>5400</v>
      </c>
    </row>
    <row r="1318" spans="2:19" ht="50.1" customHeight="1" x14ac:dyDescent="0.25">
      <c r="B1318" s="862">
        <v>45330</v>
      </c>
      <c r="C1318" s="685">
        <v>45461</v>
      </c>
      <c r="D1318" s="685"/>
      <c r="E1318" s="520" t="s">
        <v>5201</v>
      </c>
      <c r="F1318" s="513" t="s">
        <v>5160</v>
      </c>
      <c r="G1318" s="759" t="s">
        <v>5202</v>
      </c>
      <c r="H1318" s="541" t="s">
        <v>5224</v>
      </c>
      <c r="I1318" t="s">
        <v>6016</v>
      </c>
      <c r="J1318" s="686" t="s">
        <v>6017</v>
      </c>
      <c r="K1318" s="684">
        <v>3276.24</v>
      </c>
      <c r="L1318" s="543">
        <v>58.453899999999997</v>
      </c>
      <c r="M1318" s="516">
        <f t="shared" si="107"/>
        <v>56.048270517450504</v>
      </c>
      <c r="N1318" s="587">
        <v>60</v>
      </c>
      <c r="O1318" s="588">
        <f t="shared" si="103"/>
        <v>54.603999999999999</v>
      </c>
      <c r="P1318" s="682">
        <f t="shared" ca="1" si="105"/>
        <v>17</v>
      </c>
      <c r="Q1318" s="552">
        <f t="shared" ca="1" si="104"/>
        <v>2347.9719999999998</v>
      </c>
      <c r="R1318" s="563">
        <f t="shared" ca="1" si="106"/>
        <v>2347.9719999999998</v>
      </c>
      <c r="S1318" s="513" t="s">
        <v>5400</v>
      </c>
    </row>
    <row r="1319" spans="2:19" ht="50.1" customHeight="1" x14ac:dyDescent="0.25">
      <c r="B1319" s="862">
        <v>45330</v>
      </c>
      <c r="C1319" s="685">
        <v>45461</v>
      </c>
      <c r="D1319" s="685"/>
      <c r="E1319" s="520" t="s">
        <v>5201</v>
      </c>
      <c r="F1319" s="513" t="s">
        <v>5161</v>
      </c>
      <c r="G1319" s="759" t="s">
        <v>5202</v>
      </c>
      <c r="H1319" s="541" t="s">
        <v>5225</v>
      </c>
      <c r="I1319" t="s">
        <v>6016</v>
      </c>
      <c r="J1319" s="686" t="s">
        <v>6017</v>
      </c>
      <c r="K1319" s="684">
        <v>3276.24</v>
      </c>
      <c r="L1319" s="543">
        <v>58.453899999999997</v>
      </c>
      <c r="M1319" s="516">
        <f t="shared" si="107"/>
        <v>56.048270517450504</v>
      </c>
      <c r="N1319" s="587">
        <v>60</v>
      </c>
      <c r="O1319" s="588">
        <f t="shared" si="103"/>
        <v>54.603999999999999</v>
      </c>
      <c r="P1319" s="682">
        <f t="shared" ca="1" si="105"/>
        <v>17</v>
      </c>
      <c r="Q1319" s="552">
        <f t="shared" ca="1" si="104"/>
        <v>2347.9719999999998</v>
      </c>
      <c r="R1319" s="563">
        <f t="shared" ca="1" si="106"/>
        <v>2347.9719999999998</v>
      </c>
      <c r="S1319" s="513" t="s">
        <v>5400</v>
      </c>
    </row>
    <row r="1320" spans="2:19" ht="50.1" customHeight="1" x14ac:dyDescent="0.25">
      <c r="B1320" s="862">
        <v>45330</v>
      </c>
      <c r="C1320" s="685">
        <v>45461</v>
      </c>
      <c r="D1320" s="685"/>
      <c r="E1320" s="520" t="s">
        <v>5201</v>
      </c>
      <c r="F1320" s="513" t="s">
        <v>5162</v>
      </c>
      <c r="G1320" s="759" t="s">
        <v>5202</v>
      </c>
      <c r="H1320" s="541" t="s">
        <v>5226</v>
      </c>
      <c r="I1320" t="s">
        <v>6016</v>
      </c>
      <c r="J1320" s="686" t="s">
        <v>6017</v>
      </c>
      <c r="K1320" s="684">
        <v>3276.24</v>
      </c>
      <c r="L1320" s="543">
        <v>58.453899999999997</v>
      </c>
      <c r="M1320" s="516">
        <f t="shared" si="107"/>
        <v>56.048270517450504</v>
      </c>
      <c r="N1320" s="587">
        <v>60</v>
      </c>
      <c r="O1320" s="588">
        <f t="shared" si="103"/>
        <v>54.603999999999999</v>
      </c>
      <c r="P1320" s="682">
        <f t="shared" ca="1" si="105"/>
        <v>17</v>
      </c>
      <c r="Q1320" s="552">
        <f t="shared" ca="1" si="104"/>
        <v>2347.9719999999998</v>
      </c>
      <c r="R1320" s="563">
        <f t="shared" ca="1" si="106"/>
        <v>2347.9719999999998</v>
      </c>
      <c r="S1320" s="513" t="s">
        <v>5400</v>
      </c>
    </row>
    <row r="1321" spans="2:19" ht="50.1" customHeight="1" x14ac:dyDescent="0.25">
      <c r="B1321" s="862">
        <v>45330</v>
      </c>
      <c r="C1321" s="685">
        <v>45461</v>
      </c>
      <c r="D1321" s="685"/>
      <c r="E1321" s="520" t="s">
        <v>5201</v>
      </c>
      <c r="F1321" s="513" t="s">
        <v>5163</v>
      </c>
      <c r="G1321" s="759" t="s">
        <v>5202</v>
      </c>
      <c r="H1321" s="541" t="s">
        <v>5227</v>
      </c>
      <c r="I1321" t="s">
        <v>6016</v>
      </c>
      <c r="J1321" s="686" t="s">
        <v>6017</v>
      </c>
      <c r="K1321" s="684">
        <v>3276.24</v>
      </c>
      <c r="L1321" s="543">
        <v>58.453899999999997</v>
      </c>
      <c r="M1321" s="516">
        <f t="shared" si="107"/>
        <v>56.048270517450504</v>
      </c>
      <c r="N1321" s="587">
        <v>60</v>
      </c>
      <c r="O1321" s="588">
        <f t="shared" si="103"/>
        <v>54.603999999999999</v>
      </c>
      <c r="P1321" s="682">
        <f t="shared" ca="1" si="105"/>
        <v>17</v>
      </c>
      <c r="Q1321" s="552">
        <f t="shared" ca="1" si="104"/>
        <v>2347.9719999999998</v>
      </c>
      <c r="R1321" s="563">
        <f t="shared" ca="1" si="106"/>
        <v>2347.9719999999998</v>
      </c>
      <c r="S1321" s="513" t="s">
        <v>5400</v>
      </c>
    </row>
    <row r="1322" spans="2:19" ht="50.1" customHeight="1" x14ac:dyDescent="0.25">
      <c r="B1322" s="862">
        <v>45330</v>
      </c>
      <c r="C1322" s="685">
        <v>45461</v>
      </c>
      <c r="D1322" s="685"/>
      <c r="E1322" s="520" t="s">
        <v>5201</v>
      </c>
      <c r="F1322" s="513" t="s">
        <v>5164</v>
      </c>
      <c r="G1322" s="759" t="s">
        <v>5202</v>
      </c>
      <c r="H1322" s="541" t="s">
        <v>5228</v>
      </c>
      <c r="I1322" t="s">
        <v>6016</v>
      </c>
      <c r="J1322" s="686" t="s">
        <v>6017</v>
      </c>
      <c r="K1322" s="684">
        <v>3276.24</v>
      </c>
      <c r="L1322" s="543">
        <v>58.453899999999997</v>
      </c>
      <c r="M1322" s="516">
        <f t="shared" si="107"/>
        <v>56.048270517450504</v>
      </c>
      <c r="N1322" s="587">
        <v>60</v>
      </c>
      <c r="O1322" s="588">
        <f t="shared" si="103"/>
        <v>54.603999999999999</v>
      </c>
      <c r="P1322" s="682">
        <f t="shared" ca="1" si="105"/>
        <v>17</v>
      </c>
      <c r="Q1322" s="552">
        <f t="shared" ca="1" si="104"/>
        <v>2347.9719999999998</v>
      </c>
      <c r="R1322" s="563">
        <f t="shared" ca="1" si="106"/>
        <v>2347.9719999999998</v>
      </c>
      <c r="S1322" s="513" t="s">
        <v>5400</v>
      </c>
    </row>
    <row r="1323" spans="2:19" ht="50.1" customHeight="1" x14ac:dyDescent="0.25">
      <c r="B1323" s="862">
        <v>45330</v>
      </c>
      <c r="C1323" s="685">
        <v>45461</v>
      </c>
      <c r="D1323" s="685"/>
      <c r="E1323" s="520" t="s">
        <v>5201</v>
      </c>
      <c r="F1323" s="513" t="s">
        <v>5165</v>
      </c>
      <c r="G1323" s="759" t="s">
        <v>5202</v>
      </c>
      <c r="H1323" s="541" t="s">
        <v>5229</v>
      </c>
      <c r="I1323" t="s">
        <v>6016</v>
      </c>
      <c r="J1323" s="686" t="s">
        <v>6017</v>
      </c>
      <c r="K1323" s="684">
        <v>3276.24</v>
      </c>
      <c r="L1323" s="543">
        <v>58.453899999999997</v>
      </c>
      <c r="M1323" s="516">
        <f t="shared" si="107"/>
        <v>56.048270517450504</v>
      </c>
      <c r="N1323" s="587">
        <v>60</v>
      </c>
      <c r="O1323" s="588">
        <f t="shared" si="103"/>
        <v>54.603999999999999</v>
      </c>
      <c r="P1323" s="682">
        <f t="shared" ca="1" si="105"/>
        <v>17</v>
      </c>
      <c r="Q1323" s="552">
        <f t="shared" ca="1" si="104"/>
        <v>2347.9719999999998</v>
      </c>
      <c r="R1323" s="563">
        <f t="shared" ca="1" si="106"/>
        <v>2347.9719999999998</v>
      </c>
      <c r="S1323" s="513" t="s">
        <v>5400</v>
      </c>
    </row>
    <row r="1324" spans="2:19" ht="50.1" customHeight="1" x14ac:dyDescent="0.25">
      <c r="B1324" s="862">
        <v>45330</v>
      </c>
      <c r="C1324" s="685">
        <v>45461</v>
      </c>
      <c r="D1324" s="685"/>
      <c r="E1324" s="520" t="s">
        <v>5201</v>
      </c>
      <c r="F1324" s="513" t="s">
        <v>5166</v>
      </c>
      <c r="G1324" s="759" t="s">
        <v>5202</v>
      </c>
      <c r="H1324" s="541" t="s">
        <v>5230</v>
      </c>
      <c r="I1324" t="s">
        <v>6016</v>
      </c>
      <c r="J1324" s="686" t="s">
        <v>6017</v>
      </c>
      <c r="K1324" s="684">
        <v>3276.24</v>
      </c>
      <c r="L1324" s="543">
        <v>58.453899999999997</v>
      </c>
      <c r="M1324" s="516">
        <f t="shared" si="107"/>
        <v>56.048270517450504</v>
      </c>
      <c r="N1324" s="587">
        <v>60</v>
      </c>
      <c r="O1324" s="588">
        <f t="shared" si="103"/>
        <v>54.603999999999999</v>
      </c>
      <c r="P1324" s="682">
        <f t="shared" ca="1" si="105"/>
        <v>17</v>
      </c>
      <c r="Q1324" s="552">
        <f t="shared" ca="1" si="104"/>
        <v>2347.9719999999998</v>
      </c>
      <c r="R1324" s="563">
        <f t="shared" ca="1" si="106"/>
        <v>2347.9719999999998</v>
      </c>
      <c r="S1324" s="513" t="s">
        <v>5400</v>
      </c>
    </row>
    <row r="1325" spans="2:19" ht="50.1" customHeight="1" x14ac:dyDescent="0.25">
      <c r="B1325" s="862">
        <v>45330</v>
      </c>
      <c r="C1325" s="685">
        <v>45461</v>
      </c>
      <c r="D1325" s="685"/>
      <c r="E1325" s="520" t="s">
        <v>5201</v>
      </c>
      <c r="F1325" s="513" t="s">
        <v>5167</v>
      </c>
      <c r="G1325" s="759" t="s">
        <v>5202</v>
      </c>
      <c r="H1325" s="541" t="s">
        <v>5231</v>
      </c>
      <c r="I1325" t="s">
        <v>6016</v>
      </c>
      <c r="J1325" s="686" t="s">
        <v>6017</v>
      </c>
      <c r="K1325" s="684">
        <v>3276.24</v>
      </c>
      <c r="L1325" s="543">
        <v>58.453899999999997</v>
      </c>
      <c r="M1325" s="516">
        <f t="shared" si="107"/>
        <v>56.048270517450504</v>
      </c>
      <c r="N1325" s="587">
        <v>60</v>
      </c>
      <c r="O1325" s="588">
        <f t="shared" si="103"/>
        <v>54.603999999999999</v>
      </c>
      <c r="P1325" s="682">
        <f t="shared" ca="1" si="105"/>
        <v>17</v>
      </c>
      <c r="Q1325" s="552">
        <f t="shared" ca="1" si="104"/>
        <v>2347.9719999999998</v>
      </c>
      <c r="R1325" s="563">
        <f t="shared" ca="1" si="106"/>
        <v>2347.9719999999998</v>
      </c>
      <c r="S1325" s="513" t="s">
        <v>5400</v>
      </c>
    </row>
    <row r="1326" spans="2:19" ht="50.1" customHeight="1" x14ac:dyDescent="0.25">
      <c r="B1326" s="862">
        <v>45330</v>
      </c>
      <c r="C1326" s="685">
        <v>45461</v>
      </c>
      <c r="D1326" s="685"/>
      <c r="E1326" s="520" t="s">
        <v>5201</v>
      </c>
      <c r="F1326" s="513" t="s">
        <v>5168</v>
      </c>
      <c r="G1326" s="759" t="s">
        <v>5202</v>
      </c>
      <c r="H1326" s="541" t="s">
        <v>5232</v>
      </c>
      <c r="I1326" t="s">
        <v>6016</v>
      </c>
      <c r="J1326" s="686" t="s">
        <v>6017</v>
      </c>
      <c r="K1326" s="684">
        <v>3276.24</v>
      </c>
      <c r="L1326" s="543">
        <v>58.453899999999997</v>
      </c>
      <c r="M1326" s="516">
        <f t="shared" si="107"/>
        <v>56.048270517450504</v>
      </c>
      <c r="N1326" s="587">
        <v>60</v>
      </c>
      <c r="O1326" s="588">
        <f t="shared" si="103"/>
        <v>54.603999999999999</v>
      </c>
      <c r="P1326" s="682">
        <f t="shared" ca="1" si="105"/>
        <v>17</v>
      </c>
      <c r="Q1326" s="552">
        <f t="shared" ca="1" si="104"/>
        <v>2347.9719999999998</v>
      </c>
      <c r="R1326" s="563">
        <f t="shared" ca="1" si="106"/>
        <v>2347.9719999999998</v>
      </c>
      <c r="S1326" s="513" t="s">
        <v>5400</v>
      </c>
    </row>
    <row r="1327" spans="2:19" ht="50.1" customHeight="1" x14ac:dyDescent="0.25">
      <c r="B1327" s="862">
        <v>45330</v>
      </c>
      <c r="C1327" s="685">
        <v>45461</v>
      </c>
      <c r="D1327" s="685"/>
      <c r="E1327" s="520" t="s">
        <v>5201</v>
      </c>
      <c r="F1327" s="513" t="s">
        <v>5169</v>
      </c>
      <c r="G1327" s="759" t="s">
        <v>5202</v>
      </c>
      <c r="H1327" s="541" t="s">
        <v>5233</v>
      </c>
      <c r="I1327" t="s">
        <v>6016</v>
      </c>
      <c r="J1327" s="686" t="s">
        <v>6017</v>
      </c>
      <c r="K1327" s="684">
        <v>3276.24</v>
      </c>
      <c r="L1327" s="543">
        <v>58.453899999999997</v>
      </c>
      <c r="M1327" s="516">
        <f t="shared" si="107"/>
        <v>56.048270517450504</v>
      </c>
      <c r="N1327" s="587">
        <v>60</v>
      </c>
      <c r="O1327" s="588">
        <f t="shared" si="103"/>
        <v>54.603999999999999</v>
      </c>
      <c r="P1327" s="682">
        <f t="shared" ca="1" si="105"/>
        <v>17</v>
      </c>
      <c r="Q1327" s="552">
        <f t="shared" ca="1" si="104"/>
        <v>2347.9719999999998</v>
      </c>
      <c r="R1327" s="563">
        <f t="shared" ca="1" si="106"/>
        <v>2347.9719999999998</v>
      </c>
      <c r="S1327" s="513" t="s">
        <v>5400</v>
      </c>
    </row>
    <row r="1328" spans="2:19" ht="50.1" customHeight="1" x14ac:dyDescent="0.25">
      <c r="B1328" s="862">
        <v>45330</v>
      </c>
      <c r="C1328" s="685">
        <v>45461</v>
      </c>
      <c r="D1328" s="685"/>
      <c r="E1328" s="520" t="s">
        <v>5201</v>
      </c>
      <c r="F1328" s="513" t="s">
        <v>5170</v>
      </c>
      <c r="G1328" s="759" t="s">
        <v>5202</v>
      </c>
      <c r="H1328" s="541" t="s">
        <v>5234</v>
      </c>
      <c r="I1328" t="s">
        <v>6016</v>
      </c>
      <c r="J1328" s="686" t="s">
        <v>6017</v>
      </c>
      <c r="K1328" s="684">
        <v>3276.24</v>
      </c>
      <c r="L1328" s="543">
        <v>58.453899999999997</v>
      </c>
      <c r="M1328" s="516">
        <f t="shared" si="107"/>
        <v>56.048270517450504</v>
      </c>
      <c r="N1328" s="587">
        <v>60</v>
      </c>
      <c r="O1328" s="588">
        <f t="shared" si="103"/>
        <v>54.603999999999999</v>
      </c>
      <c r="P1328" s="682">
        <f t="shared" ca="1" si="105"/>
        <v>17</v>
      </c>
      <c r="Q1328" s="552">
        <f t="shared" ca="1" si="104"/>
        <v>2347.9719999999998</v>
      </c>
      <c r="R1328" s="563">
        <f t="shared" ca="1" si="106"/>
        <v>2347.9719999999998</v>
      </c>
      <c r="S1328" s="513" t="s">
        <v>5400</v>
      </c>
    </row>
    <row r="1329" spans="2:19" ht="50.1" customHeight="1" x14ac:dyDescent="0.25">
      <c r="B1329" s="862">
        <v>45330</v>
      </c>
      <c r="C1329" s="685">
        <v>45461</v>
      </c>
      <c r="D1329" s="685"/>
      <c r="E1329" s="520" t="s">
        <v>5201</v>
      </c>
      <c r="F1329" s="513" t="s">
        <v>5171</v>
      </c>
      <c r="G1329" s="759" t="s">
        <v>5202</v>
      </c>
      <c r="H1329" s="541" t="s">
        <v>5235</v>
      </c>
      <c r="I1329" t="s">
        <v>6016</v>
      </c>
      <c r="J1329" s="686" t="s">
        <v>6017</v>
      </c>
      <c r="K1329" s="684">
        <v>3276.24</v>
      </c>
      <c r="L1329" s="543">
        <v>58.453899999999997</v>
      </c>
      <c r="M1329" s="516">
        <f t="shared" si="107"/>
        <v>56.048270517450504</v>
      </c>
      <c r="N1329" s="587">
        <v>60</v>
      </c>
      <c r="O1329" s="588">
        <f t="shared" si="103"/>
        <v>54.603999999999999</v>
      </c>
      <c r="P1329" s="682">
        <f t="shared" ca="1" si="105"/>
        <v>17</v>
      </c>
      <c r="Q1329" s="552">
        <f t="shared" ca="1" si="104"/>
        <v>2347.9719999999998</v>
      </c>
      <c r="R1329" s="563">
        <f t="shared" ca="1" si="106"/>
        <v>2347.9719999999998</v>
      </c>
      <c r="S1329" s="513" t="s">
        <v>5400</v>
      </c>
    </row>
    <row r="1330" spans="2:19" ht="50.1" customHeight="1" x14ac:dyDescent="0.25">
      <c r="B1330" s="862">
        <v>45330</v>
      </c>
      <c r="C1330" s="685">
        <v>45461</v>
      </c>
      <c r="D1330" s="685"/>
      <c r="E1330" s="520" t="s">
        <v>5201</v>
      </c>
      <c r="F1330" s="513" t="s">
        <v>5172</v>
      </c>
      <c r="G1330" s="759" t="s">
        <v>5202</v>
      </c>
      <c r="H1330" s="541" t="s">
        <v>5236</v>
      </c>
      <c r="I1330" t="s">
        <v>6016</v>
      </c>
      <c r="J1330" s="686" t="s">
        <v>6017</v>
      </c>
      <c r="K1330" s="684">
        <v>3276.24</v>
      </c>
      <c r="L1330" s="543">
        <v>58.453899999999997</v>
      </c>
      <c r="M1330" s="516">
        <f t="shared" si="107"/>
        <v>56.048270517450504</v>
      </c>
      <c r="N1330" s="587">
        <v>60</v>
      </c>
      <c r="O1330" s="588">
        <f t="shared" si="103"/>
        <v>54.603999999999999</v>
      </c>
      <c r="P1330" s="682">
        <f t="shared" ca="1" si="105"/>
        <v>17</v>
      </c>
      <c r="Q1330" s="552">
        <f t="shared" ca="1" si="104"/>
        <v>2347.9719999999998</v>
      </c>
      <c r="R1330" s="563">
        <f t="shared" ca="1" si="106"/>
        <v>2347.9719999999998</v>
      </c>
      <c r="S1330" s="513" t="s">
        <v>5400</v>
      </c>
    </row>
    <row r="1331" spans="2:19" ht="50.1" customHeight="1" x14ac:dyDescent="0.25">
      <c r="B1331" s="862">
        <v>45330</v>
      </c>
      <c r="C1331" s="685">
        <v>45461</v>
      </c>
      <c r="D1331" s="685"/>
      <c r="E1331" s="520" t="s">
        <v>5201</v>
      </c>
      <c r="F1331" s="513" t="s">
        <v>5173</v>
      </c>
      <c r="G1331" s="759" t="s">
        <v>5202</v>
      </c>
      <c r="H1331" s="541" t="s">
        <v>5237</v>
      </c>
      <c r="I1331" t="s">
        <v>6016</v>
      </c>
      <c r="J1331" s="686" t="s">
        <v>6017</v>
      </c>
      <c r="K1331" s="684">
        <v>3276.24</v>
      </c>
      <c r="L1331" s="543">
        <v>58.453899999999997</v>
      </c>
      <c r="M1331" s="516">
        <f t="shared" si="107"/>
        <v>56.048270517450504</v>
      </c>
      <c r="N1331" s="587">
        <v>60</v>
      </c>
      <c r="O1331" s="588">
        <f t="shared" si="103"/>
        <v>54.603999999999999</v>
      </c>
      <c r="P1331" s="682">
        <f t="shared" ca="1" si="105"/>
        <v>17</v>
      </c>
      <c r="Q1331" s="552">
        <f t="shared" ca="1" si="104"/>
        <v>2347.9719999999998</v>
      </c>
      <c r="R1331" s="563">
        <f t="shared" ca="1" si="106"/>
        <v>2347.9719999999998</v>
      </c>
      <c r="S1331" s="513" t="s">
        <v>5400</v>
      </c>
    </row>
    <row r="1332" spans="2:19" ht="29.25" x14ac:dyDescent="0.25">
      <c r="B1332" s="862">
        <v>45330</v>
      </c>
      <c r="C1332" s="685">
        <v>45461</v>
      </c>
      <c r="D1332" s="685"/>
      <c r="E1332" s="520" t="s">
        <v>5201</v>
      </c>
      <c r="F1332" s="513" t="s">
        <v>5174</v>
      </c>
      <c r="G1332" s="759" t="s">
        <v>5202</v>
      </c>
      <c r="H1332" s="541" t="s">
        <v>5238</v>
      </c>
      <c r="I1332" t="s">
        <v>6016</v>
      </c>
      <c r="J1332" s="686" t="s">
        <v>6017</v>
      </c>
      <c r="K1332" s="684">
        <v>3276.24</v>
      </c>
      <c r="L1332" s="543">
        <v>58.453899999999997</v>
      </c>
      <c r="M1332" s="516">
        <f t="shared" si="107"/>
        <v>56.048270517450504</v>
      </c>
      <c r="N1332" s="587">
        <v>60</v>
      </c>
      <c r="O1332" s="588">
        <f t="shared" si="103"/>
        <v>54.603999999999999</v>
      </c>
      <c r="P1332" s="682">
        <f t="shared" ca="1" si="105"/>
        <v>17</v>
      </c>
      <c r="Q1332" s="552">
        <f t="shared" ca="1" si="104"/>
        <v>2347.9719999999998</v>
      </c>
      <c r="R1332" s="563">
        <f t="shared" ca="1" si="106"/>
        <v>2347.9719999999998</v>
      </c>
      <c r="S1332" s="513" t="s">
        <v>5400</v>
      </c>
    </row>
    <row r="1333" spans="2:19" ht="29.25" x14ac:dyDescent="0.25">
      <c r="B1333" s="862">
        <v>45330</v>
      </c>
      <c r="C1333" s="685">
        <v>45461</v>
      </c>
      <c r="D1333" s="685"/>
      <c r="E1333" s="520" t="s">
        <v>5201</v>
      </c>
      <c r="F1333" s="513" t="s">
        <v>5175</v>
      </c>
      <c r="G1333" s="759" t="s">
        <v>5202</v>
      </c>
      <c r="H1333" s="541" t="s">
        <v>5239</v>
      </c>
      <c r="I1333" t="s">
        <v>6016</v>
      </c>
      <c r="J1333" s="686" t="s">
        <v>6017</v>
      </c>
      <c r="K1333" s="684">
        <v>3276.24</v>
      </c>
      <c r="L1333" s="543">
        <v>58.453899999999997</v>
      </c>
      <c r="M1333" s="516">
        <f t="shared" si="107"/>
        <v>56.048270517450504</v>
      </c>
      <c r="N1333" s="587">
        <v>60</v>
      </c>
      <c r="O1333" s="588">
        <f t="shared" ref="O1333:O1396" si="108">+K1333/N1333</f>
        <v>54.603999999999999</v>
      </c>
      <c r="P1333" s="682">
        <f t="shared" ca="1" si="105"/>
        <v>17</v>
      </c>
      <c r="Q1333" s="552">
        <f t="shared" ca="1" si="104"/>
        <v>2347.9719999999998</v>
      </c>
      <c r="R1333" s="563">
        <f t="shared" ca="1" si="106"/>
        <v>2347.9719999999998</v>
      </c>
      <c r="S1333" s="513" t="s">
        <v>5400</v>
      </c>
    </row>
    <row r="1334" spans="2:19" ht="29.25" x14ac:dyDescent="0.25">
      <c r="B1334" s="862">
        <v>45330</v>
      </c>
      <c r="C1334" s="685">
        <v>45461</v>
      </c>
      <c r="D1334" s="685"/>
      <c r="E1334" s="520" t="s">
        <v>5201</v>
      </c>
      <c r="F1334" s="513" t="s">
        <v>5176</v>
      </c>
      <c r="G1334" s="759" t="s">
        <v>5202</v>
      </c>
      <c r="H1334" s="541" t="s">
        <v>5240</v>
      </c>
      <c r="I1334" t="s">
        <v>6016</v>
      </c>
      <c r="J1334" s="686" t="s">
        <v>6017</v>
      </c>
      <c r="K1334" s="684">
        <v>3276.24</v>
      </c>
      <c r="L1334" s="543">
        <v>58.453899999999997</v>
      </c>
      <c r="M1334" s="516">
        <f t="shared" si="107"/>
        <v>56.048270517450504</v>
      </c>
      <c r="N1334" s="587">
        <v>60</v>
      </c>
      <c r="O1334" s="588">
        <f t="shared" si="108"/>
        <v>54.603999999999999</v>
      </c>
      <c r="P1334" s="682">
        <f t="shared" ca="1" si="105"/>
        <v>17</v>
      </c>
      <c r="Q1334" s="552">
        <f t="shared" ca="1" si="104"/>
        <v>2347.9719999999998</v>
      </c>
      <c r="R1334" s="563">
        <f t="shared" ca="1" si="106"/>
        <v>2347.9719999999998</v>
      </c>
      <c r="S1334" s="513" t="s">
        <v>5400</v>
      </c>
    </row>
    <row r="1335" spans="2:19" ht="29.25" x14ac:dyDescent="0.25">
      <c r="B1335" s="862">
        <v>45330</v>
      </c>
      <c r="C1335" s="685">
        <v>45461</v>
      </c>
      <c r="D1335" s="685"/>
      <c r="E1335" s="520" t="s">
        <v>5201</v>
      </c>
      <c r="F1335" s="513" t="s">
        <v>5177</v>
      </c>
      <c r="G1335" s="759" t="s">
        <v>5202</v>
      </c>
      <c r="H1335" s="541" t="s">
        <v>5241</v>
      </c>
      <c r="I1335" t="s">
        <v>6016</v>
      </c>
      <c r="J1335" s="686" t="s">
        <v>6017</v>
      </c>
      <c r="K1335" s="684">
        <v>3276.24</v>
      </c>
      <c r="L1335" s="543">
        <v>58.453899999999997</v>
      </c>
      <c r="M1335" s="516">
        <f t="shared" si="107"/>
        <v>56.048270517450504</v>
      </c>
      <c r="N1335" s="587">
        <v>60</v>
      </c>
      <c r="O1335" s="588">
        <f t="shared" si="108"/>
        <v>54.603999999999999</v>
      </c>
      <c r="P1335" s="682">
        <f t="shared" ca="1" si="105"/>
        <v>17</v>
      </c>
      <c r="Q1335" s="552">
        <f t="shared" ca="1" si="104"/>
        <v>2347.9719999999998</v>
      </c>
      <c r="R1335" s="563">
        <f t="shared" ca="1" si="106"/>
        <v>2347.9719999999998</v>
      </c>
      <c r="S1335" s="513" t="s">
        <v>5400</v>
      </c>
    </row>
    <row r="1336" spans="2:19" ht="29.25" x14ac:dyDescent="0.25">
      <c r="B1336" s="862">
        <v>45330</v>
      </c>
      <c r="C1336" s="685">
        <v>45461</v>
      </c>
      <c r="D1336" s="685"/>
      <c r="E1336" s="520" t="s">
        <v>5201</v>
      </c>
      <c r="F1336" s="513" t="s">
        <v>5178</v>
      </c>
      <c r="G1336" s="759" t="s">
        <v>5202</v>
      </c>
      <c r="H1336" s="541" t="s">
        <v>5242</v>
      </c>
      <c r="I1336" t="s">
        <v>6016</v>
      </c>
      <c r="J1336" s="686" t="s">
        <v>6017</v>
      </c>
      <c r="K1336" s="684">
        <v>3276.24</v>
      </c>
      <c r="L1336" s="543">
        <v>58.453899999999997</v>
      </c>
      <c r="M1336" s="516">
        <f t="shared" si="107"/>
        <v>56.048270517450504</v>
      </c>
      <c r="N1336" s="587">
        <v>60</v>
      </c>
      <c r="O1336" s="588">
        <f t="shared" si="108"/>
        <v>54.603999999999999</v>
      </c>
      <c r="P1336" s="682">
        <f t="shared" ca="1" si="105"/>
        <v>17</v>
      </c>
      <c r="Q1336" s="552">
        <f t="shared" ca="1" si="104"/>
        <v>2347.9719999999998</v>
      </c>
      <c r="R1336" s="563">
        <f t="shared" ca="1" si="106"/>
        <v>2347.9719999999998</v>
      </c>
      <c r="S1336" s="513" t="s">
        <v>5400</v>
      </c>
    </row>
    <row r="1337" spans="2:19" ht="29.25" x14ac:dyDescent="0.25">
      <c r="B1337" s="862">
        <v>45330</v>
      </c>
      <c r="C1337" s="685">
        <v>45461</v>
      </c>
      <c r="D1337" s="685"/>
      <c r="E1337" s="520" t="s">
        <v>5201</v>
      </c>
      <c r="F1337" s="513" t="s">
        <v>5179</v>
      </c>
      <c r="G1337" s="759" t="s">
        <v>5202</v>
      </c>
      <c r="H1337" s="541" t="s">
        <v>5243</v>
      </c>
      <c r="I1337" t="s">
        <v>6016</v>
      </c>
      <c r="J1337" s="686" t="s">
        <v>6017</v>
      </c>
      <c r="K1337" s="684">
        <v>3276.24</v>
      </c>
      <c r="L1337" s="543">
        <v>58.453899999999997</v>
      </c>
      <c r="M1337" s="516">
        <f t="shared" si="107"/>
        <v>56.048270517450504</v>
      </c>
      <c r="N1337" s="587">
        <v>60</v>
      </c>
      <c r="O1337" s="588">
        <f t="shared" si="108"/>
        <v>54.603999999999999</v>
      </c>
      <c r="P1337" s="682">
        <f t="shared" ca="1" si="105"/>
        <v>17</v>
      </c>
      <c r="Q1337" s="552">
        <f t="shared" ca="1" si="104"/>
        <v>2347.9719999999998</v>
      </c>
      <c r="R1337" s="563">
        <f t="shared" ca="1" si="106"/>
        <v>2347.9719999999998</v>
      </c>
      <c r="S1337" s="513" t="s">
        <v>5400</v>
      </c>
    </row>
    <row r="1338" spans="2:19" ht="29.25" x14ac:dyDescent="0.25">
      <c r="B1338" s="862">
        <v>45330</v>
      </c>
      <c r="C1338" s="685">
        <v>45461</v>
      </c>
      <c r="D1338" s="685"/>
      <c r="E1338" s="520" t="s">
        <v>5201</v>
      </c>
      <c r="F1338" s="513" t="s">
        <v>5180</v>
      </c>
      <c r="G1338" s="759" t="s">
        <v>5202</v>
      </c>
      <c r="H1338" s="541" t="s">
        <v>5244</v>
      </c>
      <c r="I1338" t="s">
        <v>6016</v>
      </c>
      <c r="J1338" s="686" t="s">
        <v>6017</v>
      </c>
      <c r="K1338" s="684">
        <v>3276.24</v>
      </c>
      <c r="L1338" s="543">
        <v>58.453899999999997</v>
      </c>
      <c r="M1338" s="516">
        <f t="shared" si="107"/>
        <v>56.048270517450504</v>
      </c>
      <c r="N1338" s="587">
        <v>60</v>
      </c>
      <c r="O1338" s="588">
        <f t="shared" si="108"/>
        <v>54.603999999999999</v>
      </c>
      <c r="P1338" s="682">
        <f t="shared" ca="1" si="105"/>
        <v>17</v>
      </c>
      <c r="Q1338" s="552">
        <f t="shared" ca="1" si="104"/>
        <v>2347.9719999999998</v>
      </c>
      <c r="R1338" s="563">
        <f t="shared" ca="1" si="106"/>
        <v>2347.9719999999998</v>
      </c>
      <c r="S1338" s="513" t="s">
        <v>5400</v>
      </c>
    </row>
    <row r="1339" spans="2:19" ht="29.25" x14ac:dyDescent="0.25">
      <c r="B1339" s="862">
        <v>45330</v>
      </c>
      <c r="C1339" s="685">
        <v>45461</v>
      </c>
      <c r="D1339" s="685"/>
      <c r="E1339" s="520" t="s">
        <v>5201</v>
      </c>
      <c r="F1339" s="513" t="s">
        <v>5181</v>
      </c>
      <c r="G1339" s="759" t="s">
        <v>5202</v>
      </c>
      <c r="H1339" s="541" t="s">
        <v>5245</v>
      </c>
      <c r="I1339" t="s">
        <v>6016</v>
      </c>
      <c r="J1339" s="686" t="s">
        <v>6017</v>
      </c>
      <c r="K1339" s="684">
        <v>3276.24</v>
      </c>
      <c r="L1339" s="543">
        <v>58.453899999999997</v>
      </c>
      <c r="M1339" s="516">
        <f t="shared" si="107"/>
        <v>56.048270517450504</v>
      </c>
      <c r="N1339" s="587">
        <v>60</v>
      </c>
      <c r="O1339" s="588">
        <f t="shared" si="108"/>
        <v>54.603999999999999</v>
      </c>
      <c r="P1339" s="682">
        <f t="shared" ca="1" si="105"/>
        <v>17</v>
      </c>
      <c r="Q1339" s="552">
        <f t="shared" ca="1" si="104"/>
        <v>2347.9719999999998</v>
      </c>
      <c r="R1339" s="563">
        <f t="shared" ca="1" si="106"/>
        <v>2347.9719999999998</v>
      </c>
      <c r="S1339" s="513" t="s">
        <v>5400</v>
      </c>
    </row>
    <row r="1340" spans="2:19" ht="29.25" x14ac:dyDescent="0.25">
      <c r="B1340" s="862">
        <v>45330</v>
      </c>
      <c r="C1340" s="685">
        <v>45461</v>
      </c>
      <c r="D1340" s="685"/>
      <c r="E1340" s="520" t="s">
        <v>5201</v>
      </c>
      <c r="F1340" s="513" t="s">
        <v>5182</v>
      </c>
      <c r="G1340" s="759" t="s">
        <v>5202</v>
      </c>
      <c r="H1340" s="541" t="s">
        <v>5246</v>
      </c>
      <c r="I1340" t="s">
        <v>6016</v>
      </c>
      <c r="J1340" s="686" t="s">
        <v>6017</v>
      </c>
      <c r="K1340" s="684">
        <v>3276.24</v>
      </c>
      <c r="L1340" s="543">
        <v>58.453899999999997</v>
      </c>
      <c r="M1340" s="516">
        <f t="shared" si="107"/>
        <v>56.048270517450504</v>
      </c>
      <c r="N1340" s="587">
        <v>60</v>
      </c>
      <c r="O1340" s="588">
        <f t="shared" si="108"/>
        <v>54.603999999999999</v>
      </c>
      <c r="P1340" s="682">
        <f t="shared" ca="1" si="105"/>
        <v>17</v>
      </c>
      <c r="Q1340" s="552">
        <f t="shared" ca="1" si="104"/>
        <v>2347.9719999999998</v>
      </c>
      <c r="R1340" s="563">
        <f t="shared" ca="1" si="106"/>
        <v>2347.9719999999998</v>
      </c>
      <c r="S1340" s="513" t="s">
        <v>5400</v>
      </c>
    </row>
    <row r="1341" spans="2:19" ht="29.25" x14ac:dyDescent="0.25">
      <c r="B1341" s="862">
        <v>45330</v>
      </c>
      <c r="C1341" s="685">
        <v>45461</v>
      </c>
      <c r="D1341" s="685"/>
      <c r="E1341" s="520" t="s">
        <v>5201</v>
      </c>
      <c r="F1341" s="513" t="s">
        <v>5200</v>
      </c>
      <c r="G1341" s="759" t="s">
        <v>5202</v>
      </c>
      <c r="H1341" s="541" t="s">
        <v>5247</v>
      </c>
      <c r="I1341" t="s">
        <v>6016</v>
      </c>
      <c r="J1341" s="686" t="s">
        <v>6017</v>
      </c>
      <c r="K1341" s="684">
        <v>3276.24</v>
      </c>
      <c r="L1341" s="543">
        <v>58.453899999999997</v>
      </c>
      <c r="M1341" s="516">
        <f t="shared" si="107"/>
        <v>56.048270517450504</v>
      </c>
      <c r="N1341" s="587">
        <v>60</v>
      </c>
      <c r="O1341" s="588">
        <f t="shared" si="108"/>
        <v>54.603999999999999</v>
      </c>
      <c r="P1341" s="682">
        <f t="shared" ca="1" si="105"/>
        <v>17</v>
      </c>
      <c r="Q1341" s="552">
        <f t="shared" ca="1" si="104"/>
        <v>2347.9719999999998</v>
      </c>
      <c r="R1341" s="563">
        <f t="shared" ca="1" si="106"/>
        <v>2347.9719999999998</v>
      </c>
      <c r="S1341" s="513" t="s">
        <v>5400</v>
      </c>
    </row>
    <row r="1342" spans="2:19" ht="29.25" x14ac:dyDescent="0.25">
      <c r="B1342" s="862">
        <v>45330</v>
      </c>
      <c r="C1342" s="685">
        <v>45461</v>
      </c>
      <c r="D1342" s="685"/>
      <c r="E1342" s="520" t="s">
        <v>5201</v>
      </c>
      <c r="F1342" s="513" t="s">
        <v>5195</v>
      </c>
      <c r="G1342" s="759" t="s">
        <v>5202</v>
      </c>
      <c r="H1342" s="541" t="s">
        <v>5248</v>
      </c>
      <c r="I1342" t="s">
        <v>6016</v>
      </c>
      <c r="J1342" s="686" t="s">
        <v>6017</v>
      </c>
      <c r="K1342" s="684">
        <v>3276.24</v>
      </c>
      <c r="L1342" s="543">
        <v>58.453899999999997</v>
      </c>
      <c r="M1342" s="516">
        <f t="shared" si="107"/>
        <v>56.048270517450504</v>
      </c>
      <c r="N1342" s="587">
        <v>60</v>
      </c>
      <c r="O1342" s="588">
        <f t="shared" si="108"/>
        <v>54.603999999999999</v>
      </c>
      <c r="P1342" s="682">
        <f t="shared" ca="1" si="105"/>
        <v>17</v>
      </c>
      <c r="Q1342" s="552">
        <f t="shared" ca="1" si="104"/>
        <v>2347.9719999999998</v>
      </c>
      <c r="R1342" s="563">
        <f t="shared" ca="1" si="106"/>
        <v>2347.9719999999998</v>
      </c>
      <c r="S1342" s="513" t="s">
        <v>5400</v>
      </c>
    </row>
    <row r="1343" spans="2:19" ht="29.25" x14ac:dyDescent="0.25">
      <c r="B1343" s="862">
        <v>45330</v>
      </c>
      <c r="C1343" s="685">
        <v>45461</v>
      </c>
      <c r="D1343" s="685"/>
      <c r="E1343" s="520" t="s">
        <v>5201</v>
      </c>
      <c r="F1343" s="513" t="s">
        <v>5199</v>
      </c>
      <c r="G1343" s="759" t="s">
        <v>5202</v>
      </c>
      <c r="H1343" s="541" t="s">
        <v>5249</v>
      </c>
      <c r="I1343" t="s">
        <v>6016</v>
      </c>
      <c r="J1343" s="686" t="s">
        <v>6017</v>
      </c>
      <c r="K1343" s="684">
        <v>3276.24</v>
      </c>
      <c r="L1343" s="543">
        <v>58.453899999999997</v>
      </c>
      <c r="M1343" s="516">
        <f t="shared" si="107"/>
        <v>56.048270517450504</v>
      </c>
      <c r="N1343" s="587">
        <v>60</v>
      </c>
      <c r="O1343" s="588">
        <f t="shared" si="108"/>
        <v>54.603999999999999</v>
      </c>
      <c r="P1343" s="682">
        <f t="shared" ca="1" si="105"/>
        <v>17</v>
      </c>
      <c r="Q1343" s="552">
        <f t="shared" ca="1" si="104"/>
        <v>2347.9719999999998</v>
      </c>
      <c r="R1343" s="563">
        <f t="shared" ca="1" si="106"/>
        <v>2347.9719999999998</v>
      </c>
      <c r="S1343" s="513" t="s">
        <v>5400</v>
      </c>
    </row>
    <row r="1344" spans="2:19" ht="29.25" x14ac:dyDescent="0.25">
      <c r="B1344" s="862">
        <v>45330</v>
      </c>
      <c r="C1344" s="685">
        <v>45461</v>
      </c>
      <c r="D1344" s="685"/>
      <c r="E1344" s="520" t="s">
        <v>5201</v>
      </c>
      <c r="F1344" s="513" t="s">
        <v>5190</v>
      </c>
      <c r="G1344" s="759" t="s">
        <v>5202</v>
      </c>
      <c r="H1344" s="541" t="s">
        <v>5250</v>
      </c>
      <c r="I1344" t="s">
        <v>6016</v>
      </c>
      <c r="J1344" s="686" t="s">
        <v>6017</v>
      </c>
      <c r="K1344" s="684">
        <v>3276.24</v>
      </c>
      <c r="L1344" s="543">
        <v>58.453899999999997</v>
      </c>
      <c r="M1344" s="516">
        <f t="shared" si="107"/>
        <v>56.048270517450504</v>
      </c>
      <c r="N1344" s="587">
        <v>60</v>
      </c>
      <c r="O1344" s="588">
        <f t="shared" si="108"/>
        <v>54.603999999999999</v>
      </c>
      <c r="P1344" s="682">
        <f t="shared" ca="1" si="105"/>
        <v>17</v>
      </c>
      <c r="Q1344" s="552">
        <f t="shared" ca="1" si="104"/>
        <v>2347.9719999999998</v>
      </c>
      <c r="R1344" s="563">
        <f t="shared" ca="1" si="106"/>
        <v>2347.9719999999998</v>
      </c>
      <c r="S1344" s="513" t="s">
        <v>5400</v>
      </c>
    </row>
    <row r="1345" spans="2:19" ht="29.25" x14ac:dyDescent="0.25">
      <c r="B1345" s="862">
        <v>45330</v>
      </c>
      <c r="C1345" s="685">
        <v>45461</v>
      </c>
      <c r="D1345" s="685"/>
      <c r="E1345" s="520" t="s">
        <v>5201</v>
      </c>
      <c r="F1345" s="513" t="s">
        <v>5197</v>
      </c>
      <c r="G1345" s="759" t="s">
        <v>5202</v>
      </c>
      <c r="H1345" s="541" t="s">
        <v>5251</v>
      </c>
      <c r="I1345" t="s">
        <v>6016</v>
      </c>
      <c r="J1345" s="686" t="s">
        <v>6017</v>
      </c>
      <c r="K1345" s="684">
        <v>3276.24</v>
      </c>
      <c r="L1345" s="543">
        <v>58.453899999999997</v>
      </c>
      <c r="M1345" s="516">
        <f t="shared" si="107"/>
        <v>56.048270517450504</v>
      </c>
      <c r="N1345" s="587">
        <v>60</v>
      </c>
      <c r="O1345" s="588">
        <f t="shared" si="108"/>
        <v>54.603999999999999</v>
      </c>
      <c r="P1345" s="682">
        <f t="shared" ca="1" si="105"/>
        <v>17</v>
      </c>
      <c r="Q1345" s="552">
        <f t="shared" ca="1" si="104"/>
        <v>2347.9719999999998</v>
      </c>
      <c r="R1345" s="563">
        <f t="shared" ca="1" si="106"/>
        <v>2347.9719999999998</v>
      </c>
      <c r="S1345" s="513" t="s">
        <v>5400</v>
      </c>
    </row>
    <row r="1346" spans="2:19" ht="29.25" x14ac:dyDescent="0.25">
      <c r="B1346" s="862">
        <v>45330</v>
      </c>
      <c r="C1346" s="685">
        <v>45461</v>
      </c>
      <c r="D1346" s="685"/>
      <c r="E1346" s="520" t="s">
        <v>5201</v>
      </c>
      <c r="F1346" s="513" t="s">
        <v>5192</v>
      </c>
      <c r="G1346" s="759" t="s">
        <v>5202</v>
      </c>
      <c r="H1346" s="541" t="s">
        <v>5252</v>
      </c>
      <c r="I1346" t="s">
        <v>6016</v>
      </c>
      <c r="J1346" s="686" t="s">
        <v>6017</v>
      </c>
      <c r="K1346" s="684">
        <v>3276.24</v>
      </c>
      <c r="L1346" s="543">
        <v>58.453899999999997</v>
      </c>
      <c r="M1346" s="516">
        <f t="shared" si="107"/>
        <v>56.048270517450504</v>
      </c>
      <c r="N1346" s="587">
        <v>60</v>
      </c>
      <c r="O1346" s="588">
        <f t="shared" si="108"/>
        <v>54.603999999999999</v>
      </c>
      <c r="P1346" s="682">
        <f t="shared" ca="1" si="105"/>
        <v>17</v>
      </c>
      <c r="Q1346" s="552">
        <f t="shared" ref="Q1346:Q1409" ca="1" si="109">IF(OR(K1346=0,N1346=0,P1346=0),0,K1346-(O1346*P1346))</f>
        <v>2347.9719999999998</v>
      </c>
      <c r="R1346" s="563">
        <f t="shared" ca="1" si="106"/>
        <v>2347.9719999999998</v>
      </c>
      <c r="S1346" s="513" t="s">
        <v>5400</v>
      </c>
    </row>
    <row r="1347" spans="2:19" ht="29.25" x14ac:dyDescent="0.25">
      <c r="B1347" s="862">
        <v>45330</v>
      </c>
      <c r="C1347" s="685">
        <v>45461</v>
      </c>
      <c r="D1347" s="685"/>
      <c r="E1347" s="520" t="s">
        <v>5201</v>
      </c>
      <c r="F1347" s="513" t="s">
        <v>5196</v>
      </c>
      <c r="G1347" s="759" t="s">
        <v>5202</v>
      </c>
      <c r="H1347" s="541" t="s">
        <v>5253</v>
      </c>
      <c r="I1347" t="s">
        <v>6016</v>
      </c>
      <c r="J1347" s="686" t="s">
        <v>6017</v>
      </c>
      <c r="K1347" s="684">
        <v>3276.24</v>
      </c>
      <c r="L1347" s="543">
        <v>58.453899999999997</v>
      </c>
      <c r="M1347" s="516">
        <f t="shared" si="107"/>
        <v>56.048270517450504</v>
      </c>
      <c r="N1347" s="587">
        <v>60</v>
      </c>
      <c r="O1347" s="588">
        <f t="shared" si="108"/>
        <v>54.603999999999999</v>
      </c>
      <c r="P1347" s="682">
        <f t="shared" ca="1" si="105"/>
        <v>17</v>
      </c>
      <c r="Q1347" s="552">
        <f t="shared" ca="1" si="109"/>
        <v>2347.9719999999998</v>
      </c>
      <c r="R1347" s="563">
        <f t="shared" ca="1" si="106"/>
        <v>2347.9719999999998</v>
      </c>
      <c r="S1347" s="513" t="s">
        <v>5400</v>
      </c>
    </row>
    <row r="1348" spans="2:19" ht="29.25" x14ac:dyDescent="0.25">
      <c r="B1348" s="862">
        <v>45330</v>
      </c>
      <c r="C1348" s="685">
        <v>45461</v>
      </c>
      <c r="D1348" s="685"/>
      <c r="E1348" s="520" t="s">
        <v>5201</v>
      </c>
      <c r="F1348" s="513" t="s">
        <v>5186</v>
      </c>
      <c r="G1348" s="759" t="s">
        <v>5202</v>
      </c>
      <c r="H1348" s="541" t="s">
        <v>5254</v>
      </c>
      <c r="I1348" t="s">
        <v>6016</v>
      </c>
      <c r="J1348" s="686" t="s">
        <v>6017</v>
      </c>
      <c r="K1348" s="684">
        <v>3276.24</v>
      </c>
      <c r="L1348" s="543">
        <v>58.453899999999997</v>
      </c>
      <c r="M1348" s="516">
        <f t="shared" si="107"/>
        <v>56.048270517450504</v>
      </c>
      <c r="N1348" s="587">
        <v>60</v>
      </c>
      <c r="O1348" s="588">
        <f t="shared" si="108"/>
        <v>54.603999999999999</v>
      </c>
      <c r="P1348" s="682">
        <f t="shared" ca="1" si="105"/>
        <v>17</v>
      </c>
      <c r="Q1348" s="552">
        <f t="shared" ca="1" si="109"/>
        <v>2347.9719999999998</v>
      </c>
      <c r="R1348" s="563">
        <f t="shared" ca="1" si="106"/>
        <v>2347.9719999999998</v>
      </c>
      <c r="S1348" s="513" t="s">
        <v>5400</v>
      </c>
    </row>
    <row r="1349" spans="2:19" ht="29.25" x14ac:dyDescent="0.25">
      <c r="B1349" s="862">
        <v>45330</v>
      </c>
      <c r="C1349" s="685">
        <v>45461</v>
      </c>
      <c r="D1349" s="685"/>
      <c r="E1349" s="520" t="s">
        <v>5201</v>
      </c>
      <c r="F1349" s="513" t="s">
        <v>5193</v>
      </c>
      <c r="G1349" s="759" t="s">
        <v>5202</v>
      </c>
      <c r="H1349" s="541" t="s">
        <v>5255</v>
      </c>
      <c r="I1349" t="s">
        <v>6016</v>
      </c>
      <c r="J1349" s="686" t="s">
        <v>6017</v>
      </c>
      <c r="K1349" s="684">
        <v>3276.24</v>
      </c>
      <c r="L1349" s="543">
        <v>58.453899999999997</v>
      </c>
      <c r="M1349" s="516">
        <f t="shared" si="107"/>
        <v>56.048270517450504</v>
      </c>
      <c r="N1349" s="587">
        <v>60</v>
      </c>
      <c r="O1349" s="588">
        <f t="shared" si="108"/>
        <v>54.603999999999999</v>
      </c>
      <c r="P1349" s="682">
        <f t="shared" ca="1" si="105"/>
        <v>17</v>
      </c>
      <c r="Q1349" s="552">
        <f t="shared" ca="1" si="109"/>
        <v>2347.9719999999998</v>
      </c>
      <c r="R1349" s="563">
        <f t="shared" ca="1" si="106"/>
        <v>2347.9719999999998</v>
      </c>
      <c r="S1349" s="513" t="s">
        <v>5400</v>
      </c>
    </row>
    <row r="1350" spans="2:19" ht="29.25" x14ac:dyDescent="0.25">
      <c r="B1350" s="862">
        <v>45330</v>
      </c>
      <c r="C1350" s="685">
        <v>45461</v>
      </c>
      <c r="D1350" s="685"/>
      <c r="E1350" s="520" t="s">
        <v>5201</v>
      </c>
      <c r="F1350" s="513" t="s">
        <v>5184</v>
      </c>
      <c r="G1350" s="759" t="s">
        <v>5202</v>
      </c>
      <c r="H1350" s="541" t="s">
        <v>5256</v>
      </c>
      <c r="I1350" t="s">
        <v>6016</v>
      </c>
      <c r="J1350" s="686" t="s">
        <v>6017</v>
      </c>
      <c r="K1350" s="684">
        <v>3276.2</v>
      </c>
      <c r="L1350" s="543">
        <v>58.453899999999997</v>
      </c>
      <c r="M1350" s="516">
        <f t="shared" si="107"/>
        <v>56.047586217514997</v>
      </c>
      <c r="N1350" s="587">
        <v>60</v>
      </c>
      <c r="O1350" s="588">
        <f t="shared" si="108"/>
        <v>54.603333333333332</v>
      </c>
      <c r="P1350" s="682">
        <f t="shared" ca="1" si="105"/>
        <v>17</v>
      </c>
      <c r="Q1350" s="552">
        <f t="shared" ca="1" si="109"/>
        <v>2347.9433333333332</v>
      </c>
      <c r="R1350" s="563">
        <f t="shared" ca="1" si="106"/>
        <v>2347.9433333333332</v>
      </c>
      <c r="S1350" s="513" t="s">
        <v>5400</v>
      </c>
    </row>
    <row r="1351" spans="2:19" ht="29.25" x14ac:dyDescent="0.25">
      <c r="B1351" s="862">
        <v>45330</v>
      </c>
      <c r="C1351" s="685">
        <v>45461</v>
      </c>
      <c r="D1351" s="685"/>
      <c r="E1351" s="520" t="s">
        <v>5201</v>
      </c>
      <c r="F1351" s="513" t="s">
        <v>5185</v>
      </c>
      <c r="G1351" s="759" t="s">
        <v>5202</v>
      </c>
      <c r="H1351" s="541" t="s">
        <v>5257</v>
      </c>
      <c r="I1351" t="s">
        <v>6016</v>
      </c>
      <c r="J1351" s="686" t="s">
        <v>6017</v>
      </c>
      <c r="K1351" s="684">
        <v>3276.2</v>
      </c>
      <c r="L1351" s="543">
        <v>58.453899999999997</v>
      </c>
      <c r="M1351" s="516">
        <f t="shared" si="107"/>
        <v>56.047586217514997</v>
      </c>
      <c r="N1351" s="587">
        <v>60</v>
      </c>
      <c r="O1351" s="588">
        <f t="shared" si="108"/>
        <v>54.603333333333332</v>
      </c>
      <c r="P1351" s="682">
        <f t="shared" ca="1" si="105"/>
        <v>17</v>
      </c>
      <c r="Q1351" s="552">
        <f t="shared" ca="1" si="109"/>
        <v>2347.9433333333332</v>
      </c>
      <c r="R1351" s="563">
        <f t="shared" ca="1" si="106"/>
        <v>2347.9433333333332</v>
      </c>
      <c r="S1351" s="513" t="s">
        <v>5400</v>
      </c>
    </row>
    <row r="1352" spans="2:19" ht="29.25" x14ac:dyDescent="0.25">
      <c r="B1352" s="862">
        <v>45330</v>
      </c>
      <c r="C1352" s="685">
        <v>45461</v>
      </c>
      <c r="D1352" s="685"/>
      <c r="E1352" s="520" t="s">
        <v>5201</v>
      </c>
      <c r="F1352" s="513" t="s">
        <v>5198</v>
      </c>
      <c r="G1352" s="759" t="s">
        <v>5202</v>
      </c>
      <c r="H1352" s="541" t="s">
        <v>5258</v>
      </c>
      <c r="I1352" t="s">
        <v>6016</v>
      </c>
      <c r="J1352" s="686" t="s">
        <v>6017</v>
      </c>
      <c r="K1352" s="684">
        <v>3276.2</v>
      </c>
      <c r="L1352" s="543">
        <v>58.453899999999997</v>
      </c>
      <c r="M1352" s="516">
        <f t="shared" si="107"/>
        <v>56.047586217514997</v>
      </c>
      <c r="N1352" s="587">
        <v>60</v>
      </c>
      <c r="O1352" s="588">
        <f t="shared" si="108"/>
        <v>54.603333333333332</v>
      </c>
      <c r="P1352" s="682">
        <f t="shared" ref="P1352:P1415" ca="1" si="110">IF(B1352&lt;&gt;0,(ROUND((NOW()-B1352)/30,0)),0)</f>
        <v>17</v>
      </c>
      <c r="Q1352" s="552">
        <f t="shared" ca="1" si="109"/>
        <v>2347.9433333333332</v>
      </c>
      <c r="R1352" s="563">
        <f t="shared" ref="R1352:R1415" ca="1" si="111">IF(Q1352&lt;1,1,Q1352)</f>
        <v>2347.9433333333332</v>
      </c>
      <c r="S1352" s="513" t="s">
        <v>5400</v>
      </c>
    </row>
    <row r="1353" spans="2:19" ht="29.25" x14ac:dyDescent="0.25">
      <c r="B1353" s="862">
        <v>45330</v>
      </c>
      <c r="C1353" s="685">
        <v>45461</v>
      </c>
      <c r="D1353" s="685"/>
      <c r="E1353" s="520" t="s">
        <v>5201</v>
      </c>
      <c r="F1353" s="513" t="s">
        <v>5189</v>
      </c>
      <c r="G1353" s="759" t="s">
        <v>5202</v>
      </c>
      <c r="H1353" s="541" t="s">
        <v>5259</v>
      </c>
      <c r="I1353" t="s">
        <v>6016</v>
      </c>
      <c r="J1353" s="686" t="s">
        <v>6017</v>
      </c>
      <c r="K1353" s="684">
        <v>3276.2</v>
      </c>
      <c r="L1353" s="543">
        <v>58.453899999999997</v>
      </c>
      <c r="M1353" s="516">
        <f t="shared" si="107"/>
        <v>56.047586217514997</v>
      </c>
      <c r="N1353" s="587">
        <v>60</v>
      </c>
      <c r="O1353" s="588">
        <f t="shared" si="108"/>
        <v>54.603333333333332</v>
      </c>
      <c r="P1353" s="682">
        <f t="shared" ca="1" si="110"/>
        <v>17</v>
      </c>
      <c r="Q1353" s="552">
        <f t="shared" ca="1" si="109"/>
        <v>2347.9433333333332</v>
      </c>
      <c r="R1353" s="563">
        <f t="shared" ca="1" si="111"/>
        <v>2347.9433333333332</v>
      </c>
      <c r="S1353" s="513" t="s">
        <v>5400</v>
      </c>
    </row>
    <row r="1354" spans="2:19" ht="29.25" x14ac:dyDescent="0.25">
      <c r="B1354" s="862">
        <v>45330</v>
      </c>
      <c r="C1354" s="685">
        <v>45461</v>
      </c>
      <c r="D1354" s="685"/>
      <c r="E1354" s="520" t="s">
        <v>5201</v>
      </c>
      <c r="F1354" s="513" t="s">
        <v>5188</v>
      </c>
      <c r="G1354" s="759" t="s">
        <v>5202</v>
      </c>
      <c r="H1354" s="541" t="s">
        <v>5260</v>
      </c>
      <c r="I1354" t="s">
        <v>6016</v>
      </c>
      <c r="J1354" s="686" t="s">
        <v>6017</v>
      </c>
      <c r="K1354" s="684">
        <v>3276.2</v>
      </c>
      <c r="L1354" s="543">
        <v>58.453899999999997</v>
      </c>
      <c r="M1354" s="516">
        <f t="shared" si="107"/>
        <v>56.047586217514997</v>
      </c>
      <c r="N1354" s="587">
        <v>60</v>
      </c>
      <c r="O1354" s="588">
        <f t="shared" si="108"/>
        <v>54.603333333333332</v>
      </c>
      <c r="P1354" s="682">
        <f t="shared" ca="1" si="110"/>
        <v>17</v>
      </c>
      <c r="Q1354" s="552">
        <f t="shared" ca="1" si="109"/>
        <v>2347.9433333333332</v>
      </c>
      <c r="R1354" s="563">
        <f t="shared" ca="1" si="111"/>
        <v>2347.9433333333332</v>
      </c>
      <c r="S1354" s="513" t="s">
        <v>5400</v>
      </c>
    </row>
    <row r="1355" spans="2:19" ht="29.25" x14ac:dyDescent="0.25">
      <c r="B1355" s="862">
        <v>45330</v>
      </c>
      <c r="C1355" s="685">
        <v>45461</v>
      </c>
      <c r="D1355" s="685"/>
      <c r="E1355" s="520" t="s">
        <v>5201</v>
      </c>
      <c r="F1355" s="513" t="s">
        <v>5187</v>
      </c>
      <c r="G1355" s="759" t="s">
        <v>5202</v>
      </c>
      <c r="H1355" s="541" t="s">
        <v>5261</v>
      </c>
      <c r="I1355" t="s">
        <v>6016</v>
      </c>
      <c r="J1355" s="686" t="s">
        <v>6017</v>
      </c>
      <c r="K1355" s="684">
        <v>3276.2</v>
      </c>
      <c r="L1355" s="543">
        <v>58.453899999999997</v>
      </c>
      <c r="M1355" s="516">
        <f t="shared" si="107"/>
        <v>56.047586217514997</v>
      </c>
      <c r="N1355" s="587">
        <v>60</v>
      </c>
      <c r="O1355" s="588">
        <f t="shared" si="108"/>
        <v>54.603333333333332</v>
      </c>
      <c r="P1355" s="682">
        <f t="shared" ca="1" si="110"/>
        <v>17</v>
      </c>
      <c r="Q1355" s="552">
        <f t="shared" ca="1" si="109"/>
        <v>2347.9433333333332</v>
      </c>
      <c r="R1355" s="563">
        <f t="shared" ca="1" si="111"/>
        <v>2347.9433333333332</v>
      </c>
      <c r="S1355" s="513" t="s">
        <v>5400</v>
      </c>
    </row>
    <row r="1356" spans="2:19" ht="29.25" x14ac:dyDescent="0.25">
      <c r="B1356" s="862">
        <v>45330</v>
      </c>
      <c r="C1356" s="685">
        <v>45461</v>
      </c>
      <c r="D1356" s="685"/>
      <c r="E1356" s="520" t="s">
        <v>5201</v>
      </c>
      <c r="F1356" s="513" t="s">
        <v>5194</v>
      </c>
      <c r="G1356" s="759" t="s">
        <v>5202</v>
      </c>
      <c r="H1356" s="541" t="s">
        <v>5262</v>
      </c>
      <c r="I1356" t="s">
        <v>6016</v>
      </c>
      <c r="J1356" s="686" t="s">
        <v>6017</v>
      </c>
      <c r="K1356" s="684">
        <v>3276.2</v>
      </c>
      <c r="L1356" s="543">
        <v>58.453899999999997</v>
      </c>
      <c r="M1356" s="516">
        <f t="shared" si="107"/>
        <v>56.047586217514997</v>
      </c>
      <c r="N1356" s="587">
        <v>60</v>
      </c>
      <c r="O1356" s="588">
        <f t="shared" si="108"/>
        <v>54.603333333333332</v>
      </c>
      <c r="P1356" s="682">
        <f t="shared" ca="1" si="110"/>
        <v>17</v>
      </c>
      <c r="Q1356" s="552">
        <f t="shared" ca="1" si="109"/>
        <v>2347.9433333333332</v>
      </c>
      <c r="R1356" s="563">
        <f t="shared" ca="1" si="111"/>
        <v>2347.9433333333332</v>
      </c>
      <c r="S1356" s="513" t="s">
        <v>5400</v>
      </c>
    </row>
    <row r="1357" spans="2:19" ht="29.25" x14ac:dyDescent="0.25">
      <c r="B1357" s="862">
        <v>45330</v>
      </c>
      <c r="C1357" s="685">
        <v>45461</v>
      </c>
      <c r="D1357" s="685"/>
      <c r="E1357" s="520" t="s">
        <v>5201</v>
      </c>
      <c r="F1357" s="513" t="s">
        <v>5191</v>
      </c>
      <c r="G1357" s="759" t="s">
        <v>5202</v>
      </c>
      <c r="H1357" s="541" t="s">
        <v>5263</v>
      </c>
      <c r="I1357" t="s">
        <v>6016</v>
      </c>
      <c r="J1357" s="686" t="s">
        <v>6017</v>
      </c>
      <c r="K1357" s="684">
        <v>3276.2</v>
      </c>
      <c r="L1357" s="543">
        <v>58.453899999999997</v>
      </c>
      <c r="M1357" s="516">
        <f t="shared" si="107"/>
        <v>56.047586217514997</v>
      </c>
      <c r="N1357" s="587">
        <v>60</v>
      </c>
      <c r="O1357" s="588">
        <f t="shared" si="108"/>
        <v>54.603333333333332</v>
      </c>
      <c r="P1357" s="682">
        <f t="shared" ca="1" si="110"/>
        <v>17</v>
      </c>
      <c r="Q1357" s="552">
        <f t="shared" ca="1" si="109"/>
        <v>2347.9433333333332</v>
      </c>
      <c r="R1357" s="563">
        <f t="shared" ca="1" si="111"/>
        <v>2347.9433333333332</v>
      </c>
      <c r="S1357" s="513" t="s">
        <v>5400</v>
      </c>
    </row>
    <row r="1358" spans="2:19" ht="57" x14ac:dyDescent="0.25">
      <c r="B1358" s="862">
        <v>45348</v>
      </c>
      <c r="C1358" s="685">
        <v>45464</v>
      </c>
      <c r="D1358" s="685"/>
      <c r="E1358" s="520" t="s">
        <v>5614</v>
      </c>
      <c r="F1358" s="513" t="s">
        <v>5615</v>
      </c>
      <c r="G1358" s="759" t="s">
        <v>5622</v>
      </c>
      <c r="H1358" s="541" t="s">
        <v>5618</v>
      </c>
      <c r="I1358" s="900" t="s">
        <v>5620</v>
      </c>
      <c r="J1358" s="686" t="s">
        <v>19</v>
      </c>
      <c r="K1358" s="684">
        <v>225298.58</v>
      </c>
      <c r="L1358" s="543"/>
      <c r="M1358" s="516"/>
      <c r="N1358" s="587">
        <v>60</v>
      </c>
      <c r="O1358" s="588">
        <f t="shared" si="108"/>
        <v>3754.9763333333331</v>
      </c>
      <c r="P1358" s="682">
        <f t="shared" ca="1" si="110"/>
        <v>17</v>
      </c>
      <c r="Q1358" s="552">
        <f t="shared" ca="1" si="109"/>
        <v>161463.98233333332</v>
      </c>
      <c r="R1358" s="563">
        <f t="shared" ca="1" si="111"/>
        <v>161463.98233333332</v>
      </c>
      <c r="S1358" s="513" t="s">
        <v>1327</v>
      </c>
    </row>
    <row r="1359" spans="2:19" ht="42" customHeight="1" x14ac:dyDescent="0.25">
      <c r="B1359" s="862">
        <v>45348</v>
      </c>
      <c r="C1359" s="685">
        <v>45464</v>
      </c>
      <c r="D1359" s="685"/>
      <c r="E1359" s="520" t="s">
        <v>5614</v>
      </c>
      <c r="F1359" s="513" t="s">
        <v>5616</v>
      </c>
      <c r="G1359" s="759" t="s">
        <v>5617</v>
      </c>
      <c r="H1359" s="541" t="s">
        <v>5619</v>
      </c>
      <c r="I1359" s="900" t="s">
        <v>5621</v>
      </c>
      <c r="J1359" s="686" t="s">
        <v>19</v>
      </c>
      <c r="K1359" s="684">
        <v>225298.58</v>
      </c>
      <c r="L1359" s="543"/>
      <c r="M1359" s="516"/>
      <c r="N1359" s="587">
        <v>60</v>
      </c>
      <c r="O1359" s="588">
        <f t="shared" si="108"/>
        <v>3754.9763333333331</v>
      </c>
      <c r="P1359" s="682">
        <f t="shared" ca="1" si="110"/>
        <v>17</v>
      </c>
      <c r="Q1359" s="552">
        <f t="shared" ca="1" si="109"/>
        <v>161463.98233333332</v>
      </c>
      <c r="R1359" s="563">
        <f t="shared" ca="1" si="111"/>
        <v>161463.98233333332</v>
      </c>
      <c r="S1359" s="513" t="s">
        <v>1327</v>
      </c>
    </row>
    <row r="1360" spans="2:19" ht="29.25" x14ac:dyDescent="0.25">
      <c r="B1360" s="862">
        <v>45351</v>
      </c>
      <c r="C1360" s="685">
        <v>45461</v>
      </c>
      <c r="D1360" s="685"/>
      <c r="E1360" s="520" t="s">
        <v>5340</v>
      </c>
      <c r="F1360" s="681" t="s">
        <v>5265</v>
      </c>
      <c r="G1360" s="759" t="s">
        <v>5264</v>
      </c>
      <c r="H1360" s="541" t="s">
        <v>5341</v>
      </c>
      <c r="I1360" t="s">
        <v>6016</v>
      </c>
      <c r="J1360" s="686" t="s">
        <v>6017</v>
      </c>
      <c r="K1360" s="684">
        <v>4805.9799999999996</v>
      </c>
      <c r="L1360" s="543">
        <v>58.453899999999997</v>
      </c>
      <c r="M1360" s="516">
        <f t="shared" ref="M1360:M1423" si="112">+K1360/L1360</f>
        <v>82.218295100925687</v>
      </c>
      <c r="N1360" s="587">
        <v>60</v>
      </c>
      <c r="O1360" s="588">
        <f t="shared" si="108"/>
        <v>80.099666666666664</v>
      </c>
      <c r="P1360" s="682">
        <f t="shared" ca="1" si="110"/>
        <v>17</v>
      </c>
      <c r="Q1360" s="552">
        <f t="shared" ca="1" si="109"/>
        <v>3444.2856666666662</v>
      </c>
      <c r="R1360" s="563">
        <f t="shared" ca="1" si="111"/>
        <v>3444.2856666666662</v>
      </c>
      <c r="S1360" s="513" t="s">
        <v>4964</v>
      </c>
    </row>
    <row r="1361" spans="2:19" ht="29.25" x14ac:dyDescent="0.25">
      <c r="B1361" s="862">
        <v>45351</v>
      </c>
      <c r="C1361" s="685">
        <v>45461</v>
      </c>
      <c r="D1361" s="685"/>
      <c r="E1361" s="520" t="s">
        <v>5340</v>
      </c>
      <c r="F1361" s="681" t="s">
        <v>5287</v>
      </c>
      <c r="G1361" s="759" t="s">
        <v>5264</v>
      </c>
      <c r="H1361" s="541" t="s">
        <v>5347</v>
      </c>
      <c r="I1361" t="s">
        <v>6016</v>
      </c>
      <c r="J1361" s="686" t="s">
        <v>6017</v>
      </c>
      <c r="K1361" s="684">
        <v>4805.9799999999996</v>
      </c>
      <c r="L1361" s="543">
        <v>58.636200000000002</v>
      </c>
      <c r="M1361" s="516">
        <f t="shared" si="112"/>
        <v>81.96267834545894</v>
      </c>
      <c r="N1361" s="587">
        <v>60</v>
      </c>
      <c r="O1361" s="588">
        <f t="shared" si="108"/>
        <v>80.099666666666664</v>
      </c>
      <c r="P1361" s="682">
        <f t="shared" ca="1" si="110"/>
        <v>17</v>
      </c>
      <c r="Q1361" s="552">
        <f t="shared" ca="1" si="109"/>
        <v>3444.2856666666662</v>
      </c>
      <c r="R1361" s="563">
        <f t="shared" ca="1" si="111"/>
        <v>3444.2856666666662</v>
      </c>
      <c r="S1361" s="513" t="s">
        <v>4964</v>
      </c>
    </row>
    <row r="1362" spans="2:19" ht="29.25" x14ac:dyDescent="0.25">
      <c r="B1362" s="862">
        <v>45351</v>
      </c>
      <c r="C1362" s="685">
        <v>45461</v>
      </c>
      <c r="D1362" s="685"/>
      <c r="E1362" s="520" t="s">
        <v>5340</v>
      </c>
      <c r="F1362" s="681" t="s">
        <v>5288</v>
      </c>
      <c r="G1362" s="759" t="s">
        <v>5264</v>
      </c>
      <c r="H1362" s="541" t="s">
        <v>5363</v>
      </c>
      <c r="I1362" t="s">
        <v>6016</v>
      </c>
      <c r="J1362" s="686" t="s">
        <v>6017</v>
      </c>
      <c r="K1362" s="684">
        <v>4805.9799999999996</v>
      </c>
      <c r="L1362" s="543">
        <v>58.636200000000002</v>
      </c>
      <c r="M1362" s="516">
        <f t="shared" si="112"/>
        <v>81.96267834545894</v>
      </c>
      <c r="N1362" s="587">
        <v>60</v>
      </c>
      <c r="O1362" s="588">
        <f t="shared" si="108"/>
        <v>80.099666666666664</v>
      </c>
      <c r="P1362" s="682">
        <f t="shared" ca="1" si="110"/>
        <v>17</v>
      </c>
      <c r="Q1362" s="552">
        <f t="shared" ca="1" si="109"/>
        <v>3444.2856666666662</v>
      </c>
      <c r="R1362" s="563">
        <f t="shared" ca="1" si="111"/>
        <v>3444.2856666666662</v>
      </c>
      <c r="S1362" s="513" t="s">
        <v>4964</v>
      </c>
    </row>
    <row r="1363" spans="2:19" ht="29.25" x14ac:dyDescent="0.25">
      <c r="B1363" s="862">
        <v>45351</v>
      </c>
      <c r="C1363" s="685">
        <v>45461</v>
      </c>
      <c r="D1363" s="685"/>
      <c r="E1363" s="520" t="s">
        <v>5340</v>
      </c>
      <c r="F1363" s="681" t="s">
        <v>5289</v>
      </c>
      <c r="G1363" s="759" t="s">
        <v>5264</v>
      </c>
      <c r="H1363" s="541" t="s">
        <v>5362</v>
      </c>
      <c r="I1363" t="s">
        <v>6016</v>
      </c>
      <c r="J1363" s="686" t="s">
        <v>6017</v>
      </c>
      <c r="K1363" s="684">
        <v>4805.9799999999996</v>
      </c>
      <c r="L1363" s="543">
        <v>58.636200000000002</v>
      </c>
      <c r="M1363" s="516">
        <f t="shared" si="112"/>
        <v>81.96267834545894</v>
      </c>
      <c r="N1363" s="587">
        <v>60</v>
      </c>
      <c r="O1363" s="588">
        <f t="shared" si="108"/>
        <v>80.099666666666664</v>
      </c>
      <c r="P1363" s="682">
        <f t="shared" ca="1" si="110"/>
        <v>17</v>
      </c>
      <c r="Q1363" s="552">
        <f t="shared" ca="1" si="109"/>
        <v>3444.2856666666662</v>
      </c>
      <c r="R1363" s="563">
        <f t="shared" ca="1" si="111"/>
        <v>3444.2856666666662</v>
      </c>
      <c r="S1363" s="513" t="s">
        <v>4964</v>
      </c>
    </row>
    <row r="1364" spans="2:19" ht="29.25" x14ac:dyDescent="0.25">
      <c r="B1364" s="862">
        <v>45351</v>
      </c>
      <c r="C1364" s="685">
        <v>45461</v>
      </c>
      <c r="D1364" s="685"/>
      <c r="E1364" s="520" t="s">
        <v>5340</v>
      </c>
      <c r="F1364" s="681" t="s">
        <v>5290</v>
      </c>
      <c r="G1364" s="759" t="s">
        <v>5264</v>
      </c>
      <c r="H1364" s="541" t="s">
        <v>5353</v>
      </c>
      <c r="I1364" t="s">
        <v>6016</v>
      </c>
      <c r="J1364" s="686" t="s">
        <v>6017</v>
      </c>
      <c r="K1364" s="684">
        <v>4805.9799999999996</v>
      </c>
      <c r="L1364" s="543">
        <v>58.636200000000002</v>
      </c>
      <c r="M1364" s="516">
        <f t="shared" si="112"/>
        <v>81.96267834545894</v>
      </c>
      <c r="N1364" s="587">
        <v>60</v>
      </c>
      <c r="O1364" s="588">
        <f t="shared" si="108"/>
        <v>80.099666666666664</v>
      </c>
      <c r="P1364" s="682">
        <f t="shared" ca="1" si="110"/>
        <v>17</v>
      </c>
      <c r="Q1364" s="552">
        <f t="shared" ca="1" si="109"/>
        <v>3444.2856666666662</v>
      </c>
      <c r="R1364" s="563">
        <f t="shared" ca="1" si="111"/>
        <v>3444.2856666666662</v>
      </c>
      <c r="S1364" s="513" t="s">
        <v>4964</v>
      </c>
    </row>
    <row r="1365" spans="2:19" ht="29.25" x14ac:dyDescent="0.25">
      <c r="B1365" s="862">
        <v>45351</v>
      </c>
      <c r="C1365" s="685">
        <v>45461</v>
      </c>
      <c r="D1365" s="685"/>
      <c r="E1365" s="520" t="s">
        <v>5340</v>
      </c>
      <c r="F1365" s="681" t="s">
        <v>5291</v>
      </c>
      <c r="G1365" s="759" t="s">
        <v>5264</v>
      </c>
      <c r="H1365" s="541" t="s">
        <v>5360</v>
      </c>
      <c r="I1365" t="s">
        <v>6016</v>
      </c>
      <c r="J1365" s="686" t="s">
        <v>6017</v>
      </c>
      <c r="K1365" s="684">
        <v>4805.9799999999996</v>
      </c>
      <c r="L1365" s="543">
        <v>58.636200000000002</v>
      </c>
      <c r="M1365" s="516">
        <f t="shared" si="112"/>
        <v>81.96267834545894</v>
      </c>
      <c r="N1365" s="587">
        <v>60</v>
      </c>
      <c r="O1365" s="588">
        <f t="shared" si="108"/>
        <v>80.099666666666664</v>
      </c>
      <c r="P1365" s="682">
        <f t="shared" ca="1" si="110"/>
        <v>17</v>
      </c>
      <c r="Q1365" s="552">
        <f t="shared" ca="1" si="109"/>
        <v>3444.2856666666662</v>
      </c>
      <c r="R1365" s="563">
        <f t="shared" ca="1" si="111"/>
        <v>3444.2856666666662</v>
      </c>
      <c r="S1365" s="513" t="s">
        <v>4964</v>
      </c>
    </row>
    <row r="1366" spans="2:19" ht="29.25" x14ac:dyDescent="0.25">
      <c r="B1366" s="862">
        <v>45351</v>
      </c>
      <c r="C1366" s="685">
        <v>45461</v>
      </c>
      <c r="D1366" s="685"/>
      <c r="E1366" s="520" t="s">
        <v>5340</v>
      </c>
      <c r="F1366" s="681" t="s">
        <v>5292</v>
      </c>
      <c r="G1366" s="759" t="s">
        <v>5264</v>
      </c>
      <c r="H1366" s="541" t="s">
        <v>5383</v>
      </c>
      <c r="I1366" t="s">
        <v>6016</v>
      </c>
      <c r="J1366" s="686" t="s">
        <v>6017</v>
      </c>
      <c r="K1366" s="684">
        <v>4805.9799999999996</v>
      </c>
      <c r="L1366" s="543">
        <v>58.636200000000002</v>
      </c>
      <c r="M1366" s="516">
        <f t="shared" si="112"/>
        <v>81.96267834545894</v>
      </c>
      <c r="N1366" s="587">
        <v>60</v>
      </c>
      <c r="O1366" s="588">
        <f t="shared" si="108"/>
        <v>80.099666666666664</v>
      </c>
      <c r="P1366" s="682">
        <f t="shared" ca="1" si="110"/>
        <v>17</v>
      </c>
      <c r="Q1366" s="552">
        <f t="shared" ca="1" si="109"/>
        <v>3444.2856666666662</v>
      </c>
      <c r="R1366" s="563">
        <f t="shared" ca="1" si="111"/>
        <v>3444.2856666666662</v>
      </c>
      <c r="S1366" s="513" t="s">
        <v>4964</v>
      </c>
    </row>
    <row r="1367" spans="2:19" ht="29.25" x14ac:dyDescent="0.25">
      <c r="B1367" s="862">
        <v>45351</v>
      </c>
      <c r="C1367" s="685">
        <v>45461</v>
      </c>
      <c r="D1367" s="685"/>
      <c r="E1367" s="520" t="s">
        <v>5340</v>
      </c>
      <c r="F1367" s="681" t="s">
        <v>5293</v>
      </c>
      <c r="G1367" s="759" t="s">
        <v>5264</v>
      </c>
      <c r="H1367" s="541" t="s">
        <v>5366</v>
      </c>
      <c r="I1367" t="s">
        <v>6016</v>
      </c>
      <c r="J1367" s="686" t="s">
        <v>6017</v>
      </c>
      <c r="K1367" s="684">
        <v>4805.9799999999996</v>
      </c>
      <c r="L1367" s="543">
        <v>58.636200000000002</v>
      </c>
      <c r="M1367" s="516">
        <f t="shared" si="112"/>
        <v>81.96267834545894</v>
      </c>
      <c r="N1367" s="587">
        <v>60</v>
      </c>
      <c r="O1367" s="588">
        <f t="shared" si="108"/>
        <v>80.099666666666664</v>
      </c>
      <c r="P1367" s="682">
        <f t="shared" ca="1" si="110"/>
        <v>17</v>
      </c>
      <c r="Q1367" s="552">
        <f t="shared" ca="1" si="109"/>
        <v>3444.2856666666662</v>
      </c>
      <c r="R1367" s="563">
        <f t="shared" ca="1" si="111"/>
        <v>3444.2856666666662</v>
      </c>
      <c r="S1367" s="513" t="s">
        <v>4964</v>
      </c>
    </row>
    <row r="1368" spans="2:19" ht="29.25" x14ac:dyDescent="0.25">
      <c r="B1368" s="862">
        <v>45351</v>
      </c>
      <c r="C1368" s="685">
        <v>45461</v>
      </c>
      <c r="D1368" s="685"/>
      <c r="E1368" s="520" t="s">
        <v>5340</v>
      </c>
      <c r="F1368" s="681" t="s">
        <v>5294</v>
      </c>
      <c r="G1368" s="759" t="s">
        <v>5264</v>
      </c>
      <c r="H1368" s="541" t="s">
        <v>5381</v>
      </c>
      <c r="I1368" t="s">
        <v>6016</v>
      </c>
      <c r="J1368" s="686" t="s">
        <v>6017</v>
      </c>
      <c r="K1368" s="684">
        <v>4805.9799999999996</v>
      </c>
      <c r="L1368" s="543">
        <v>58.636200000000002</v>
      </c>
      <c r="M1368" s="516">
        <f t="shared" si="112"/>
        <v>81.96267834545894</v>
      </c>
      <c r="N1368" s="587">
        <v>60</v>
      </c>
      <c r="O1368" s="588">
        <f t="shared" si="108"/>
        <v>80.099666666666664</v>
      </c>
      <c r="P1368" s="682">
        <f t="shared" ca="1" si="110"/>
        <v>17</v>
      </c>
      <c r="Q1368" s="552">
        <f t="shared" ca="1" si="109"/>
        <v>3444.2856666666662</v>
      </c>
      <c r="R1368" s="563">
        <f t="shared" ca="1" si="111"/>
        <v>3444.2856666666662</v>
      </c>
      <c r="S1368" s="513" t="s">
        <v>4964</v>
      </c>
    </row>
    <row r="1369" spans="2:19" ht="29.25" x14ac:dyDescent="0.25">
      <c r="B1369" s="862">
        <v>45351</v>
      </c>
      <c r="C1369" s="685">
        <v>45461</v>
      </c>
      <c r="D1369" s="685"/>
      <c r="E1369" s="520" t="s">
        <v>5340</v>
      </c>
      <c r="F1369" s="681" t="s">
        <v>5295</v>
      </c>
      <c r="G1369" s="759" t="s">
        <v>5264</v>
      </c>
      <c r="H1369" s="541" t="s">
        <v>5370</v>
      </c>
      <c r="I1369" t="s">
        <v>6016</v>
      </c>
      <c r="J1369" s="686" t="s">
        <v>6017</v>
      </c>
      <c r="K1369" s="684">
        <v>4805.9799999999996</v>
      </c>
      <c r="L1369" s="543">
        <v>58.636200000000002</v>
      </c>
      <c r="M1369" s="516">
        <f t="shared" si="112"/>
        <v>81.96267834545894</v>
      </c>
      <c r="N1369" s="587">
        <v>60</v>
      </c>
      <c r="O1369" s="588">
        <f t="shared" si="108"/>
        <v>80.099666666666664</v>
      </c>
      <c r="P1369" s="682">
        <f t="shared" ca="1" si="110"/>
        <v>17</v>
      </c>
      <c r="Q1369" s="552">
        <f t="shared" ca="1" si="109"/>
        <v>3444.2856666666662</v>
      </c>
      <c r="R1369" s="563">
        <f t="shared" ca="1" si="111"/>
        <v>3444.2856666666662</v>
      </c>
      <c r="S1369" s="513" t="s">
        <v>4964</v>
      </c>
    </row>
    <row r="1370" spans="2:19" ht="29.25" x14ac:dyDescent="0.25">
      <c r="B1370" s="862">
        <v>45351</v>
      </c>
      <c r="C1370" s="685">
        <v>45461</v>
      </c>
      <c r="D1370" s="685"/>
      <c r="E1370" s="520" t="s">
        <v>5340</v>
      </c>
      <c r="F1370" s="681" t="s">
        <v>5296</v>
      </c>
      <c r="G1370" s="759" t="s">
        <v>5264</v>
      </c>
      <c r="H1370" s="541" t="s">
        <v>5348</v>
      </c>
      <c r="I1370" t="s">
        <v>6016</v>
      </c>
      <c r="J1370" s="686" t="s">
        <v>6017</v>
      </c>
      <c r="K1370" s="684">
        <v>4805.9799999999996</v>
      </c>
      <c r="L1370" s="543">
        <v>58.636200000000002</v>
      </c>
      <c r="M1370" s="516">
        <f t="shared" si="112"/>
        <v>81.96267834545894</v>
      </c>
      <c r="N1370" s="587">
        <v>60</v>
      </c>
      <c r="O1370" s="588">
        <f t="shared" si="108"/>
        <v>80.099666666666664</v>
      </c>
      <c r="P1370" s="682">
        <f t="shared" ca="1" si="110"/>
        <v>17</v>
      </c>
      <c r="Q1370" s="552">
        <f t="shared" ca="1" si="109"/>
        <v>3444.2856666666662</v>
      </c>
      <c r="R1370" s="563">
        <f t="shared" ca="1" si="111"/>
        <v>3444.2856666666662</v>
      </c>
      <c r="S1370" s="513" t="s">
        <v>4964</v>
      </c>
    </row>
    <row r="1371" spans="2:19" ht="29.25" x14ac:dyDescent="0.25">
      <c r="B1371" s="862">
        <v>45351</v>
      </c>
      <c r="C1371" s="685">
        <v>45461</v>
      </c>
      <c r="D1371" s="685"/>
      <c r="E1371" s="520" t="s">
        <v>5340</v>
      </c>
      <c r="F1371" s="681" t="s">
        <v>5297</v>
      </c>
      <c r="G1371" s="759" t="s">
        <v>5264</v>
      </c>
      <c r="H1371" s="541" t="s">
        <v>5349</v>
      </c>
      <c r="I1371" t="s">
        <v>6016</v>
      </c>
      <c r="J1371" s="686" t="s">
        <v>6017</v>
      </c>
      <c r="K1371" s="684">
        <v>4805.9799999999996</v>
      </c>
      <c r="L1371" s="543">
        <v>58.636200000000002</v>
      </c>
      <c r="M1371" s="516">
        <f t="shared" si="112"/>
        <v>81.96267834545894</v>
      </c>
      <c r="N1371" s="587">
        <v>60</v>
      </c>
      <c r="O1371" s="588">
        <f t="shared" si="108"/>
        <v>80.099666666666664</v>
      </c>
      <c r="P1371" s="682">
        <f t="shared" ca="1" si="110"/>
        <v>17</v>
      </c>
      <c r="Q1371" s="552">
        <f t="shared" ca="1" si="109"/>
        <v>3444.2856666666662</v>
      </c>
      <c r="R1371" s="563">
        <f t="shared" ca="1" si="111"/>
        <v>3444.2856666666662</v>
      </c>
      <c r="S1371" s="513" t="s">
        <v>4964</v>
      </c>
    </row>
    <row r="1372" spans="2:19" ht="29.25" x14ac:dyDescent="0.25">
      <c r="B1372" s="862">
        <v>45351</v>
      </c>
      <c r="C1372" s="685">
        <v>45461</v>
      </c>
      <c r="D1372" s="685"/>
      <c r="E1372" s="520" t="s">
        <v>5340</v>
      </c>
      <c r="F1372" s="681" t="s">
        <v>5298</v>
      </c>
      <c r="G1372" s="759" t="s">
        <v>5264</v>
      </c>
      <c r="H1372" s="541" t="s">
        <v>5364</v>
      </c>
      <c r="I1372" t="s">
        <v>6016</v>
      </c>
      <c r="J1372" s="686" t="s">
        <v>6017</v>
      </c>
      <c r="K1372" s="684">
        <v>4805.9799999999996</v>
      </c>
      <c r="L1372" s="543">
        <v>58.636200000000002</v>
      </c>
      <c r="M1372" s="516">
        <f t="shared" si="112"/>
        <v>81.96267834545894</v>
      </c>
      <c r="N1372" s="587">
        <v>60</v>
      </c>
      <c r="O1372" s="588">
        <f t="shared" si="108"/>
        <v>80.099666666666664</v>
      </c>
      <c r="P1372" s="682">
        <f t="shared" ca="1" si="110"/>
        <v>17</v>
      </c>
      <c r="Q1372" s="552">
        <f t="shared" ca="1" si="109"/>
        <v>3444.2856666666662</v>
      </c>
      <c r="R1372" s="563">
        <f t="shared" ca="1" si="111"/>
        <v>3444.2856666666662</v>
      </c>
      <c r="S1372" s="513" t="s">
        <v>4964</v>
      </c>
    </row>
    <row r="1373" spans="2:19" ht="29.25" x14ac:dyDescent="0.25">
      <c r="B1373" s="862">
        <v>45351</v>
      </c>
      <c r="C1373" s="685">
        <v>45461</v>
      </c>
      <c r="D1373" s="685"/>
      <c r="E1373" s="520" t="s">
        <v>5340</v>
      </c>
      <c r="F1373" s="681" t="s">
        <v>5299</v>
      </c>
      <c r="G1373" s="759" t="s">
        <v>5264</v>
      </c>
      <c r="H1373" s="541" t="s">
        <v>5369</v>
      </c>
      <c r="I1373" t="s">
        <v>6016</v>
      </c>
      <c r="J1373" s="686" t="s">
        <v>6017</v>
      </c>
      <c r="K1373" s="684">
        <v>4805.9799999999996</v>
      </c>
      <c r="L1373" s="543">
        <v>58.636200000000002</v>
      </c>
      <c r="M1373" s="516">
        <f t="shared" si="112"/>
        <v>81.96267834545894</v>
      </c>
      <c r="N1373" s="587">
        <v>60</v>
      </c>
      <c r="O1373" s="588">
        <f t="shared" si="108"/>
        <v>80.099666666666664</v>
      </c>
      <c r="P1373" s="682">
        <f t="shared" ca="1" si="110"/>
        <v>17</v>
      </c>
      <c r="Q1373" s="552">
        <f t="shared" ca="1" si="109"/>
        <v>3444.2856666666662</v>
      </c>
      <c r="R1373" s="563">
        <f t="shared" ca="1" si="111"/>
        <v>3444.2856666666662</v>
      </c>
      <c r="S1373" s="513" t="s">
        <v>4964</v>
      </c>
    </row>
    <row r="1374" spans="2:19" ht="29.25" x14ac:dyDescent="0.25">
      <c r="B1374" s="862">
        <v>45351</v>
      </c>
      <c r="C1374" s="685">
        <v>45461</v>
      </c>
      <c r="D1374" s="685"/>
      <c r="E1374" s="520" t="s">
        <v>5340</v>
      </c>
      <c r="F1374" s="681" t="s">
        <v>5300</v>
      </c>
      <c r="G1374" s="759" t="s">
        <v>5264</v>
      </c>
      <c r="H1374" s="541" t="s">
        <v>5384</v>
      </c>
      <c r="I1374" t="s">
        <v>6016</v>
      </c>
      <c r="J1374" s="686" t="s">
        <v>6017</v>
      </c>
      <c r="K1374" s="684">
        <v>4805.9799999999996</v>
      </c>
      <c r="L1374" s="543">
        <v>58.636200000000002</v>
      </c>
      <c r="M1374" s="516">
        <f t="shared" si="112"/>
        <v>81.96267834545894</v>
      </c>
      <c r="N1374" s="587">
        <v>60</v>
      </c>
      <c r="O1374" s="588">
        <f t="shared" si="108"/>
        <v>80.099666666666664</v>
      </c>
      <c r="P1374" s="682">
        <f t="shared" ca="1" si="110"/>
        <v>17</v>
      </c>
      <c r="Q1374" s="552">
        <f t="shared" ca="1" si="109"/>
        <v>3444.2856666666662</v>
      </c>
      <c r="R1374" s="563">
        <f t="shared" ca="1" si="111"/>
        <v>3444.2856666666662</v>
      </c>
      <c r="S1374" s="513" t="s">
        <v>4964</v>
      </c>
    </row>
    <row r="1375" spans="2:19" ht="29.25" x14ac:dyDescent="0.25">
      <c r="B1375" s="862">
        <v>45351</v>
      </c>
      <c r="C1375" s="685">
        <v>45461</v>
      </c>
      <c r="D1375" s="685"/>
      <c r="E1375" s="520" t="s">
        <v>5340</v>
      </c>
      <c r="F1375" s="681" t="s">
        <v>5338</v>
      </c>
      <c r="G1375" s="759" t="s">
        <v>5264</v>
      </c>
      <c r="H1375" s="541" t="s">
        <v>5385</v>
      </c>
      <c r="I1375" t="s">
        <v>6016</v>
      </c>
      <c r="J1375" s="686" t="s">
        <v>6017</v>
      </c>
      <c r="K1375" s="684">
        <v>4805.9799999999996</v>
      </c>
      <c r="L1375" s="543">
        <v>58.636200000000002</v>
      </c>
      <c r="M1375" s="516">
        <f t="shared" si="112"/>
        <v>81.96267834545894</v>
      </c>
      <c r="N1375" s="587">
        <v>60</v>
      </c>
      <c r="O1375" s="588">
        <f t="shared" si="108"/>
        <v>80.099666666666664</v>
      </c>
      <c r="P1375" s="682">
        <f t="shared" ca="1" si="110"/>
        <v>17</v>
      </c>
      <c r="Q1375" s="552">
        <f t="shared" ca="1" si="109"/>
        <v>3444.2856666666662</v>
      </c>
      <c r="R1375" s="563">
        <f t="shared" ca="1" si="111"/>
        <v>3444.2856666666662</v>
      </c>
      <c r="S1375" s="513" t="s">
        <v>4964</v>
      </c>
    </row>
    <row r="1376" spans="2:19" ht="29.25" x14ac:dyDescent="0.25">
      <c r="B1376" s="862">
        <v>45351</v>
      </c>
      <c r="C1376" s="685">
        <v>45461</v>
      </c>
      <c r="D1376" s="685"/>
      <c r="E1376" s="520" t="s">
        <v>5340</v>
      </c>
      <c r="F1376" s="681" t="s">
        <v>5301</v>
      </c>
      <c r="G1376" s="759" t="s">
        <v>5264</v>
      </c>
      <c r="H1376" s="541" t="s">
        <v>5374</v>
      </c>
      <c r="I1376" t="s">
        <v>6016</v>
      </c>
      <c r="J1376" s="686" t="s">
        <v>6017</v>
      </c>
      <c r="K1376" s="684">
        <v>4805.9799999999996</v>
      </c>
      <c r="L1376" s="543">
        <v>58.636200000000002</v>
      </c>
      <c r="M1376" s="516">
        <f t="shared" si="112"/>
        <v>81.96267834545894</v>
      </c>
      <c r="N1376" s="587">
        <v>60</v>
      </c>
      <c r="O1376" s="588">
        <f t="shared" si="108"/>
        <v>80.099666666666664</v>
      </c>
      <c r="P1376" s="682">
        <f t="shared" ca="1" si="110"/>
        <v>17</v>
      </c>
      <c r="Q1376" s="552">
        <f t="shared" ca="1" si="109"/>
        <v>3444.2856666666662</v>
      </c>
      <c r="R1376" s="563">
        <f t="shared" ca="1" si="111"/>
        <v>3444.2856666666662</v>
      </c>
      <c r="S1376" s="513" t="s">
        <v>4964</v>
      </c>
    </row>
    <row r="1377" spans="2:19" ht="29.25" x14ac:dyDescent="0.25">
      <c r="B1377" s="862">
        <v>45351</v>
      </c>
      <c r="C1377" s="685">
        <v>45461</v>
      </c>
      <c r="D1377" s="685"/>
      <c r="E1377" s="520" t="s">
        <v>5340</v>
      </c>
      <c r="F1377" s="681" t="s">
        <v>5302</v>
      </c>
      <c r="G1377" s="759" t="s">
        <v>5264</v>
      </c>
      <c r="H1377" s="541" t="s">
        <v>5371</v>
      </c>
      <c r="I1377" t="s">
        <v>6016</v>
      </c>
      <c r="J1377" s="686" t="s">
        <v>6017</v>
      </c>
      <c r="K1377" s="684">
        <v>4805.9799999999996</v>
      </c>
      <c r="L1377" s="543">
        <v>58.636200000000002</v>
      </c>
      <c r="M1377" s="516">
        <f t="shared" si="112"/>
        <v>81.96267834545894</v>
      </c>
      <c r="N1377" s="587">
        <v>60</v>
      </c>
      <c r="O1377" s="588">
        <f t="shared" si="108"/>
        <v>80.099666666666664</v>
      </c>
      <c r="P1377" s="682">
        <f t="shared" ca="1" si="110"/>
        <v>17</v>
      </c>
      <c r="Q1377" s="552">
        <f t="shared" ca="1" si="109"/>
        <v>3444.2856666666662</v>
      </c>
      <c r="R1377" s="563">
        <f t="shared" ca="1" si="111"/>
        <v>3444.2856666666662</v>
      </c>
      <c r="S1377" s="513" t="s">
        <v>4964</v>
      </c>
    </row>
    <row r="1378" spans="2:19" ht="29.25" x14ac:dyDescent="0.25">
      <c r="B1378" s="862">
        <v>45351</v>
      </c>
      <c r="C1378" s="685">
        <v>45461</v>
      </c>
      <c r="D1378" s="685"/>
      <c r="E1378" s="520" t="s">
        <v>5340</v>
      </c>
      <c r="F1378" s="681" t="s">
        <v>5309</v>
      </c>
      <c r="G1378" s="759" t="s">
        <v>5264</v>
      </c>
      <c r="H1378" s="541" t="s">
        <v>5386</v>
      </c>
      <c r="I1378" t="s">
        <v>6016</v>
      </c>
      <c r="J1378" s="686" t="s">
        <v>6017</v>
      </c>
      <c r="K1378" s="684">
        <v>4805.9799999999996</v>
      </c>
      <c r="L1378" s="543">
        <v>58.636200000000002</v>
      </c>
      <c r="M1378" s="516">
        <f t="shared" si="112"/>
        <v>81.96267834545894</v>
      </c>
      <c r="N1378" s="587">
        <v>60</v>
      </c>
      <c r="O1378" s="588">
        <f t="shared" si="108"/>
        <v>80.099666666666664</v>
      </c>
      <c r="P1378" s="682">
        <f t="shared" ca="1" si="110"/>
        <v>17</v>
      </c>
      <c r="Q1378" s="552">
        <f t="shared" ca="1" si="109"/>
        <v>3444.2856666666662</v>
      </c>
      <c r="R1378" s="563">
        <f t="shared" ca="1" si="111"/>
        <v>3444.2856666666662</v>
      </c>
      <c r="S1378" s="513" t="s">
        <v>4964</v>
      </c>
    </row>
    <row r="1379" spans="2:19" ht="29.25" x14ac:dyDescent="0.25">
      <c r="B1379" s="862">
        <v>45351</v>
      </c>
      <c r="C1379" s="685">
        <v>45461</v>
      </c>
      <c r="D1379" s="685"/>
      <c r="E1379" s="520" t="s">
        <v>5340</v>
      </c>
      <c r="F1379" s="681" t="s">
        <v>5271</v>
      </c>
      <c r="G1379" s="759" t="s">
        <v>5264</v>
      </c>
      <c r="H1379" s="541" t="s">
        <v>5387</v>
      </c>
      <c r="I1379" t="s">
        <v>6016</v>
      </c>
      <c r="J1379" s="686" t="s">
        <v>6017</v>
      </c>
      <c r="K1379" s="684">
        <v>4805.9799999999996</v>
      </c>
      <c r="L1379" s="543">
        <v>58.636200000000002</v>
      </c>
      <c r="M1379" s="516">
        <f t="shared" si="112"/>
        <v>81.96267834545894</v>
      </c>
      <c r="N1379" s="587">
        <v>60</v>
      </c>
      <c r="O1379" s="588">
        <f t="shared" si="108"/>
        <v>80.099666666666664</v>
      </c>
      <c r="P1379" s="682">
        <f t="shared" ca="1" si="110"/>
        <v>17</v>
      </c>
      <c r="Q1379" s="552">
        <f t="shared" ca="1" si="109"/>
        <v>3444.2856666666662</v>
      </c>
      <c r="R1379" s="563">
        <f t="shared" ca="1" si="111"/>
        <v>3444.2856666666662</v>
      </c>
      <c r="S1379" s="513" t="s">
        <v>4964</v>
      </c>
    </row>
    <row r="1380" spans="2:19" ht="29.25" x14ac:dyDescent="0.25">
      <c r="B1380" s="862">
        <v>45351</v>
      </c>
      <c r="C1380" s="685">
        <v>45461</v>
      </c>
      <c r="D1380" s="685"/>
      <c r="E1380" s="520" t="s">
        <v>5340</v>
      </c>
      <c r="F1380" s="681" t="s">
        <v>5273</v>
      </c>
      <c r="G1380" s="759" t="s">
        <v>5264</v>
      </c>
      <c r="H1380" s="541" t="s">
        <v>5350</v>
      </c>
      <c r="I1380" t="s">
        <v>6016</v>
      </c>
      <c r="J1380" s="686" t="s">
        <v>6017</v>
      </c>
      <c r="K1380" s="684">
        <v>4805.9799999999996</v>
      </c>
      <c r="L1380" s="543">
        <v>58.636200000000002</v>
      </c>
      <c r="M1380" s="516">
        <f t="shared" si="112"/>
        <v>81.96267834545894</v>
      </c>
      <c r="N1380" s="587">
        <v>60</v>
      </c>
      <c r="O1380" s="588">
        <f t="shared" si="108"/>
        <v>80.099666666666664</v>
      </c>
      <c r="P1380" s="682">
        <f t="shared" ca="1" si="110"/>
        <v>17</v>
      </c>
      <c r="Q1380" s="552">
        <f t="shared" ca="1" si="109"/>
        <v>3444.2856666666662</v>
      </c>
      <c r="R1380" s="563">
        <f t="shared" ca="1" si="111"/>
        <v>3444.2856666666662</v>
      </c>
      <c r="S1380" s="513" t="s">
        <v>4964</v>
      </c>
    </row>
    <row r="1381" spans="2:19" ht="29.25" x14ac:dyDescent="0.25">
      <c r="B1381" s="862">
        <v>45351</v>
      </c>
      <c r="C1381" s="685">
        <v>45461</v>
      </c>
      <c r="D1381" s="685"/>
      <c r="E1381" s="520" t="s">
        <v>5340</v>
      </c>
      <c r="F1381" s="681" t="s">
        <v>5310</v>
      </c>
      <c r="G1381" s="759" t="s">
        <v>5264</v>
      </c>
      <c r="H1381" s="541" t="s">
        <v>5388</v>
      </c>
      <c r="I1381" t="s">
        <v>6016</v>
      </c>
      <c r="J1381" s="686" t="s">
        <v>6017</v>
      </c>
      <c r="K1381" s="684">
        <v>4805.9799999999996</v>
      </c>
      <c r="L1381" s="543">
        <v>58.636200000000002</v>
      </c>
      <c r="M1381" s="516">
        <f t="shared" si="112"/>
        <v>81.96267834545894</v>
      </c>
      <c r="N1381" s="587">
        <v>60</v>
      </c>
      <c r="O1381" s="588">
        <f t="shared" si="108"/>
        <v>80.099666666666664</v>
      </c>
      <c r="P1381" s="682">
        <f t="shared" ca="1" si="110"/>
        <v>17</v>
      </c>
      <c r="Q1381" s="552">
        <f t="shared" ca="1" si="109"/>
        <v>3444.2856666666662</v>
      </c>
      <c r="R1381" s="563">
        <f t="shared" ca="1" si="111"/>
        <v>3444.2856666666662</v>
      </c>
      <c r="S1381" s="513" t="s">
        <v>4964</v>
      </c>
    </row>
    <row r="1382" spans="2:19" ht="29.25" x14ac:dyDescent="0.25">
      <c r="B1382" s="862">
        <v>45351</v>
      </c>
      <c r="C1382" s="685">
        <v>45461</v>
      </c>
      <c r="D1382" s="685"/>
      <c r="E1382" s="520" t="s">
        <v>5340</v>
      </c>
      <c r="F1382" s="681" t="s">
        <v>5311</v>
      </c>
      <c r="G1382" s="759" t="s">
        <v>5264</v>
      </c>
      <c r="H1382" s="541" t="s">
        <v>5346</v>
      </c>
      <c r="I1382" t="s">
        <v>6016</v>
      </c>
      <c r="J1382" s="686" t="s">
        <v>6017</v>
      </c>
      <c r="K1382" s="684">
        <v>4805.9799999999996</v>
      </c>
      <c r="L1382" s="543">
        <v>58.636200000000002</v>
      </c>
      <c r="M1382" s="516">
        <f t="shared" si="112"/>
        <v>81.96267834545894</v>
      </c>
      <c r="N1382" s="587">
        <v>60</v>
      </c>
      <c r="O1382" s="588">
        <f t="shared" si="108"/>
        <v>80.099666666666664</v>
      </c>
      <c r="P1382" s="682">
        <f t="shared" ca="1" si="110"/>
        <v>17</v>
      </c>
      <c r="Q1382" s="552">
        <f t="shared" ca="1" si="109"/>
        <v>3444.2856666666662</v>
      </c>
      <c r="R1382" s="563">
        <f t="shared" ca="1" si="111"/>
        <v>3444.2856666666662</v>
      </c>
      <c r="S1382" s="513" t="s">
        <v>4964</v>
      </c>
    </row>
    <row r="1383" spans="2:19" ht="29.25" x14ac:dyDescent="0.25">
      <c r="B1383" s="862">
        <v>45351</v>
      </c>
      <c r="C1383" s="685">
        <v>45461</v>
      </c>
      <c r="D1383" s="685"/>
      <c r="E1383" s="520" t="s">
        <v>5340</v>
      </c>
      <c r="F1383" s="681" t="s">
        <v>5312</v>
      </c>
      <c r="G1383" s="759" t="s">
        <v>5264</v>
      </c>
      <c r="H1383" s="541" t="s">
        <v>5342</v>
      </c>
      <c r="I1383" t="s">
        <v>6016</v>
      </c>
      <c r="J1383" s="686" t="s">
        <v>6017</v>
      </c>
      <c r="K1383" s="684">
        <v>4805.9799999999996</v>
      </c>
      <c r="L1383" s="543">
        <v>58.636200000000002</v>
      </c>
      <c r="M1383" s="516">
        <f t="shared" si="112"/>
        <v>81.96267834545894</v>
      </c>
      <c r="N1383" s="587">
        <v>60</v>
      </c>
      <c r="O1383" s="588">
        <f t="shared" si="108"/>
        <v>80.099666666666664</v>
      </c>
      <c r="P1383" s="682">
        <f t="shared" ca="1" si="110"/>
        <v>17</v>
      </c>
      <c r="Q1383" s="552">
        <f t="shared" ca="1" si="109"/>
        <v>3444.2856666666662</v>
      </c>
      <c r="R1383" s="563">
        <f t="shared" ca="1" si="111"/>
        <v>3444.2856666666662</v>
      </c>
      <c r="S1383" s="513" t="s">
        <v>4964</v>
      </c>
    </row>
    <row r="1384" spans="2:19" ht="29.25" x14ac:dyDescent="0.25">
      <c r="B1384" s="862">
        <v>45351</v>
      </c>
      <c r="C1384" s="685">
        <v>45461</v>
      </c>
      <c r="D1384" s="685"/>
      <c r="E1384" s="520" t="s">
        <v>5340</v>
      </c>
      <c r="F1384" s="681" t="s">
        <v>5313</v>
      </c>
      <c r="G1384" s="759" t="s">
        <v>5264</v>
      </c>
      <c r="H1384" s="541" t="s">
        <v>5351</v>
      </c>
      <c r="I1384" t="s">
        <v>6016</v>
      </c>
      <c r="J1384" s="686" t="s">
        <v>6017</v>
      </c>
      <c r="K1384" s="684">
        <v>4805.9799999999996</v>
      </c>
      <c r="L1384" s="543">
        <v>58.636200000000002</v>
      </c>
      <c r="M1384" s="516">
        <f t="shared" si="112"/>
        <v>81.96267834545894</v>
      </c>
      <c r="N1384" s="587">
        <v>60</v>
      </c>
      <c r="O1384" s="588">
        <f t="shared" si="108"/>
        <v>80.099666666666664</v>
      </c>
      <c r="P1384" s="682">
        <f t="shared" ca="1" si="110"/>
        <v>17</v>
      </c>
      <c r="Q1384" s="552">
        <f t="shared" ca="1" si="109"/>
        <v>3444.2856666666662</v>
      </c>
      <c r="R1384" s="563">
        <f t="shared" ca="1" si="111"/>
        <v>3444.2856666666662</v>
      </c>
      <c r="S1384" s="513" t="s">
        <v>4964</v>
      </c>
    </row>
    <row r="1385" spans="2:19" ht="29.25" x14ac:dyDescent="0.25">
      <c r="B1385" s="862">
        <v>45351</v>
      </c>
      <c r="C1385" s="685">
        <v>45461</v>
      </c>
      <c r="D1385" s="685"/>
      <c r="E1385" s="520" t="s">
        <v>5340</v>
      </c>
      <c r="F1385" s="681" t="s">
        <v>5276</v>
      </c>
      <c r="G1385" s="759" t="s">
        <v>5264</v>
      </c>
      <c r="H1385" s="541" t="s">
        <v>5389</v>
      </c>
      <c r="I1385" t="s">
        <v>6016</v>
      </c>
      <c r="J1385" s="686" t="s">
        <v>6017</v>
      </c>
      <c r="K1385" s="684">
        <v>4805.9799999999996</v>
      </c>
      <c r="L1385" s="543">
        <v>58.636200000000002</v>
      </c>
      <c r="M1385" s="516">
        <f t="shared" si="112"/>
        <v>81.96267834545894</v>
      </c>
      <c r="N1385" s="587">
        <v>60</v>
      </c>
      <c r="O1385" s="588">
        <f t="shared" si="108"/>
        <v>80.099666666666664</v>
      </c>
      <c r="P1385" s="682">
        <f t="shared" ca="1" si="110"/>
        <v>17</v>
      </c>
      <c r="Q1385" s="552">
        <f t="shared" ca="1" si="109"/>
        <v>3444.2856666666662</v>
      </c>
      <c r="R1385" s="563">
        <f t="shared" ca="1" si="111"/>
        <v>3444.2856666666662</v>
      </c>
      <c r="S1385" s="513" t="s">
        <v>4964</v>
      </c>
    </row>
    <row r="1386" spans="2:19" ht="29.25" x14ac:dyDescent="0.25">
      <c r="B1386" s="862">
        <v>45351</v>
      </c>
      <c r="C1386" s="685">
        <v>45461</v>
      </c>
      <c r="D1386" s="685"/>
      <c r="E1386" s="520" t="s">
        <v>5340</v>
      </c>
      <c r="F1386" s="681" t="s">
        <v>5303</v>
      </c>
      <c r="G1386" s="759" t="s">
        <v>5264</v>
      </c>
      <c r="H1386" s="541" t="s">
        <v>5379</v>
      </c>
      <c r="I1386" t="s">
        <v>6016</v>
      </c>
      <c r="J1386" s="686" t="s">
        <v>6017</v>
      </c>
      <c r="K1386" s="684">
        <v>4805.9799999999996</v>
      </c>
      <c r="L1386" s="543">
        <v>58.636200000000002</v>
      </c>
      <c r="M1386" s="516">
        <f t="shared" si="112"/>
        <v>81.96267834545894</v>
      </c>
      <c r="N1386" s="587">
        <v>60</v>
      </c>
      <c r="O1386" s="588">
        <f t="shared" si="108"/>
        <v>80.099666666666664</v>
      </c>
      <c r="P1386" s="682">
        <f t="shared" ca="1" si="110"/>
        <v>17</v>
      </c>
      <c r="Q1386" s="552">
        <f t="shared" ca="1" si="109"/>
        <v>3444.2856666666662</v>
      </c>
      <c r="R1386" s="563">
        <f t="shared" ca="1" si="111"/>
        <v>3444.2856666666662</v>
      </c>
      <c r="S1386" s="513" t="s">
        <v>4964</v>
      </c>
    </row>
    <row r="1387" spans="2:19" ht="29.25" x14ac:dyDescent="0.25">
      <c r="B1387" s="862">
        <v>45351</v>
      </c>
      <c r="C1387" s="685">
        <v>45461</v>
      </c>
      <c r="D1387" s="685"/>
      <c r="E1387" s="520" t="s">
        <v>5340</v>
      </c>
      <c r="F1387" s="681" t="s">
        <v>5305</v>
      </c>
      <c r="G1387" s="759" t="s">
        <v>5264</v>
      </c>
      <c r="H1387" s="541" t="s">
        <v>5377</v>
      </c>
      <c r="I1387" t="s">
        <v>6016</v>
      </c>
      <c r="J1387" s="686" t="s">
        <v>6017</v>
      </c>
      <c r="K1387" s="684">
        <v>4805.9799999999996</v>
      </c>
      <c r="L1387" s="543">
        <v>58.636200000000002</v>
      </c>
      <c r="M1387" s="516">
        <f t="shared" si="112"/>
        <v>81.96267834545894</v>
      </c>
      <c r="N1387" s="587">
        <v>60</v>
      </c>
      <c r="O1387" s="588">
        <f t="shared" si="108"/>
        <v>80.099666666666664</v>
      </c>
      <c r="P1387" s="682">
        <f t="shared" ca="1" si="110"/>
        <v>17</v>
      </c>
      <c r="Q1387" s="552">
        <f t="shared" ca="1" si="109"/>
        <v>3444.2856666666662</v>
      </c>
      <c r="R1387" s="563">
        <f t="shared" ca="1" si="111"/>
        <v>3444.2856666666662</v>
      </c>
      <c r="S1387" s="513" t="s">
        <v>4964</v>
      </c>
    </row>
    <row r="1388" spans="2:19" ht="29.25" x14ac:dyDescent="0.25">
      <c r="B1388" s="862">
        <v>45351</v>
      </c>
      <c r="C1388" s="685">
        <v>45461</v>
      </c>
      <c r="D1388" s="685"/>
      <c r="E1388" s="520" t="s">
        <v>5340</v>
      </c>
      <c r="F1388" s="681" t="s">
        <v>5314</v>
      </c>
      <c r="G1388" s="759" t="s">
        <v>5264</v>
      </c>
      <c r="H1388" s="541" t="s">
        <v>5378</v>
      </c>
      <c r="I1388" t="s">
        <v>6016</v>
      </c>
      <c r="J1388" s="686" t="s">
        <v>6017</v>
      </c>
      <c r="K1388" s="684">
        <v>4805.9799999999996</v>
      </c>
      <c r="L1388" s="543">
        <v>58.636200000000002</v>
      </c>
      <c r="M1388" s="516">
        <f t="shared" si="112"/>
        <v>81.96267834545894</v>
      </c>
      <c r="N1388" s="587">
        <v>60</v>
      </c>
      <c r="O1388" s="588">
        <f t="shared" si="108"/>
        <v>80.099666666666664</v>
      </c>
      <c r="P1388" s="682">
        <f t="shared" ca="1" si="110"/>
        <v>17</v>
      </c>
      <c r="Q1388" s="552">
        <f t="shared" ca="1" si="109"/>
        <v>3444.2856666666662</v>
      </c>
      <c r="R1388" s="563">
        <f t="shared" ca="1" si="111"/>
        <v>3444.2856666666662</v>
      </c>
      <c r="S1388" s="513" t="s">
        <v>4964</v>
      </c>
    </row>
    <row r="1389" spans="2:19" ht="29.25" x14ac:dyDescent="0.25">
      <c r="B1389" s="862">
        <v>45351</v>
      </c>
      <c r="C1389" s="683">
        <v>45462</v>
      </c>
      <c r="D1389" s="683"/>
      <c r="E1389" s="520" t="s">
        <v>5340</v>
      </c>
      <c r="F1389" s="681" t="s">
        <v>5315</v>
      </c>
      <c r="G1389" s="759" t="s">
        <v>5264</v>
      </c>
      <c r="H1389" s="541" t="s">
        <v>5376</v>
      </c>
      <c r="I1389" t="s">
        <v>6016</v>
      </c>
      <c r="J1389" s="686" t="s">
        <v>6017</v>
      </c>
      <c r="K1389" s="684">
        <v>4805.97</v>
      </c>
      <c r="L1389" s="543">
        <v>58.636200000000002</v>
      </c>
      <c r="M1389" s="516">
        <f t="shared" si="112"/>
        <v>81.962507802347361</v>
      </c>
      <c r="N1389" s="587">
        <v>60</v>
      </c>
      <c r="O1389" s="588">
        <f t="shared" si="108"/>
        <v>80.099500000000006</v>
      </c>
      <c r="P1389" s="682">
        <f t="shared" ca="1" si="110"/>
        <v>17</v>
      </c>
      <c r="Q1389" s="552">
        <f t="shared" ca="1" si="109"/>
        <v>3444.2785000000003</v>
      </c>
      <c r="R1389" s="563">
        <f t="shared" ca="1" si="111"/>
        <v>3444.2785000000003</v>
      </c>
      <c r="S1389" s="513" t="s">
        <v>4964</v>
      </c>
    </row>
    <row r="1390" spans="2:19" ht="29.25" x14ac:dyDescent="0.25">
      <c r="B1390" s="862">
        <v>45351</v>
      </c>
      <c r="C1390" s="683">
        <v>45462</v>
      </c>
      <c r="D1390" s="683"/>
      <c r="E1390" s="520" t="s">
        <v>5340</v>
      </c>
      <c r="F1390" s="681" t="s">
        <v>5316</v>
      </c>
      <c r="G1390" s="759" t="s">
        <v>5264</v>
      </c>
      <c r="H1390" s="541" t="s">
        <v>5390</v>
      </c>
      <c r="I1390" t="s">
        <v>6016</v>
      </c>
      <c r="J1390" s="686" t="s">
        <v>6017</v>
      </c>
      <c r="K1390" s="684">
        <v>4805.97</v>
      </c>
      <c r="L1390" s="543">
        <v>58.636200000000002</v>
      </c>
      <c r="M1390" s="516">
        <f t="shared" si="112"/>
        <v>81.962507802347361</v>
      </c>
      <c r="N1390" s="587">
        <v>60</v>
      </c>
      <c r="O1390" s="588">
        <f t="shared" si="108"/>
        <v>80.099500000000006</v>
      </c>
      <c r="P1390" s="682">
        <f t="shared" ca="1" si="110"/>
        <v>17</v>
      </c>
      <c r="Q1390" s="552">
        <f t="shared" ca="1" si="109"/>
        <v>3444.2785000000003</v>
      </c>
      <c r="R1390" s="563">
        <f t="shared" ca="1" si="111"/>
        <v>3444.2785000000003</v>
      </c>
      <c r="S1390" s="513" t="s">
        <v>4964</v>
      </c>
    </row>
    <row r="1391" spans="2:19" ht="29.25" x14ac:dyDescent="0.25">
      <c r="B1391" s="862">
        <v>45351</v>
      </c>
      <c r="C1391" s="683">
        <v>45462</v>
      </c>
      <c r="D1391" s="683"/>
      <c r="E1391" s="520" t="s">
        <v>5340</v>
      </c>
      <c r="F1391" s="681" t="s">
        <v>5304</v>
      </c>
      <c r="G1391" s="759" t="s">
        <v>5264</v>
      </c>
      <c r="H1391" s="541" t="s">
        <v>5344</v>
      </c>
      <c r="I1391" t="s">
        <v>6016</v>
      </c>
      <c r="J1391" s="686" t="s">
        <v>6017</v>
      </c>
      <c r="K1391" s="684">
        <v>4805.97</v>
      </c>
      <c r="L1391" s="543">
        <v>58.636200000000002</v>
      </c>
      <c r="M1391" s="516">
        <f t="shared" si="112"/>
        <v>81.962507802347361</v>
      </c>
      <c r="N1391" s="587">
        <v>60</v>
      </c>
      <c r="O1391" s="588">
        <f t="shared" si="108"/>
        <v>80.099500000000006</v>
      </c>
      <c r="P1391" s="682">
        <f t="shared" ca="1" si="110"/>
        <v>17</v>
      </c>
      <c r="Q1391" s="552">
        <f t="shared" ca="1" si="109"/>
        <v>3444.2785000000003</v>
      </c>
      <c r="R1391" s="563">
        <f t="shared" ca="1" si="111"/>
        <v>3444.2785000000003</v>
      </c>
      <c r="S1391" s="513" t="s">
        <v>4964</v>
      </c>
    </row>
    <row r="1392" spans="2:19" ht="29.25" x14ac:dyDescent="0.25">
      <c r="B1392" s="862">
        <v>45351</v>
      </c>
      <c r="C1392" s="683">
        <v>45462</v>
      </c>
      <c r="D1392" s="683"/>
      <c r="E1392" s="520" t="s">
        <v>5340</v>
      </c>
      <c r="F1392" s="681" t="s">
        <v>5306</v>
      </c>
      <c r="G1392" s="759" t="s">
        <v>5264</v>
      </c>
      <c r="H1392" s="541" t="s">
        <v>5343</v>
      </c>
      <c r="I1392" t="s">
        <v>6016</v>
      </c>
      <c r="J1392" s="686" t="s">
        <v>6017</v>
      </c>
      <c r="K1392" s="684">
        <v>4805.97</v>
      </c>
      <c r="L1392" s="543">
        <v>58.636200000000002</v>
      </c>
      <c r="M1392" s="516">
        <f t="shared" si="112"/>
        <v>81.962507802347361</v>
      </c>
      <c r="N1392" s="587">
        <v>60</v>
      </c>
      <c r="O1392" s="588">
        <f t="shared" si="108"/>
        <v>80.099500000000006</v>
      </c>
      <c r="P1392" s="682">
        <f t="shared" ca="1" si="110"/>
        <v>17</v>
      </c>
      <c r="Q1392" s="552">
        <f t="shared" ca="1" si="109"/>
        <v>3444.2785000000003</v>
      </c>
      <c r="R1392" s="563">
        <f t="shared" ca="1" si="111"/>
        <v>3444.2785000000003</v>
      </c>
      <c r="S1392" s="513" t="s">
        <v>4964</v>
      </c>
    </row>
    <row r="1393" spans="2:19" ht="29.25" x14ac:dyDescent="0.25">
      <c r="B1393" s="862">
        <v>45351</v>
      </c>
      <c r="C1393" s="683">
        <v>45462</v>
      </c>
      <c r="D1393" s="683"/>
      <c r="E1393" s="520" t="s">
        <v>5340</v>
      </c>
      <c r="F1393" s="681" t="s">
        <v>5307</v>
      </c>
      <c r="G1393" s="759" t="s">
        <v>5264</v>
      </c>
      <c r="H1393" s="541" t="s">
        <v>5356</v>
      </c>
      <c r="I1393" t="s">
        <v>6016</v>
      </c>
      <c r="J1393" s="686" t="s">
        <v>6017</v>
      </c>
      <c r="K1393" s="684">
        <v>4805.97</v>
      </c>
      <c r="L1393" s="543">
        <v>58.636200000000002</v>
      </c>
      <c r="M1393" s="516">
        <f t="shared" si="112"/>
        <v>81.962507802347361</v>
      </c>
      <c r="N1393" s="587">
        <v>60</v>
      </c>
      <c r="O1393" s="588">
        <f t="shared" si="108"/>
        <v>80.099500000000006</v>
      </c>
      <c r="P1393" s="682">
        <f t="shared" ca="1" si="110"/>
        <v>17</v>
      </c>
      <c r="Q1393" s="552">
        <f t="shared" ca="1" si="109"/>
        <v>3444.2785000000003</v>
      </c>
      <c r="R1393" s="563">
        <f t="shared" ca="1" si="111"/>
        <v>3444.2785000000003</v>
      </c>
      <c r="S1393" s="513" t="s">
        <v>4964</v>
      </c>
    </row>
    <row r="1394" spans="2:19" ht="29.25" x14ac:dyDescent="0.25">
      <c r="B1394" s="862">
        <v>45351</v>
      </c>
      <c r="C1394" s="683">
        <v>45462</v>
      </c>
      <c r="D1394" s="683"/>
      <c r="E1394" s="520" t="s">
        <v>5340</v>
      </c>
      <c r="F1394" s="681" t="s">
        <v>5317</v>
      </c>
      <c r="G1394" s="759" t="s">
        <v>5264</v>
      </c>
      <c r="H1394" s="541" t="s">
        <v>5357</v>
      </c>
      <c r="I1394" t="s">
        <v>6016</v>
      </c>
      <c r="J1394" s="686" t="s">
        <v>6017</v>
      </c>
      <c r="K1394" s="684">
        <v>4805.97</v>
      </c>
      <c r="L1394" s="543">
        <v>58.636200000000002</v>
      </c>
      <c r="M1394" s="516">
        <f t="shared" si="112"/>
        <v>81.962507802347361</v>
      </c>
      <c r="N1394" s="587">
        <v>60</v>
      </c>
      <c r="O1394" s="588">
        <f t="shared" si="108"/>
        <v>80.099500000000006</v>
      </c>
      <c r="P1394" s="682">
        <f t="shared" ca="1" si="110"/>
        <v>17</v>
      </c>
      <c r="Q1394" s="552">
        <f t="shared" ca="1" si="109"/>
        <v>3444.2785000000003</v>
      </c>
      <c r="R1394" s="563">
        <f t="shared" ca="1" si="111"/>
        <v>3444.2785000000003</v>
      </c>
      <c r="S1394" s="513" t="s">
        <v>4964</v>
      </c>
    </row>
    <row r="1395" spans="2:19" ht="29.25" x14ac:dyDescent="0.25">
      <c r="B1395" s="862">
        <v>45351</v>
      </c>
      <c r="C1395" s="683">
        <v>45462</v>
      </c>
      <c r="D1395" s="683"/>
      <c r="E1395" s="520" t="s">
        <v>5340</v>
      </c>
      <c r="F1395" s="681" t="s">
        <v>5270</v>
      </c>
      <c r="G1395" s="759" t="s">
        <v>5264</v>
      </c>
      <c r="H1395" s="541" t="s">
        <v>5368</v>
      </c>
      <c r="I1395" t="s">
        <v>6016</v>
      </c>
      <c r="J1395" s="686" t="s">
        <v>6017</v>
      </c>
      <c r="K1395" s="684">
        <v>4805.97</v>
      </c>
      <c r="L1395" s="543">
        <v>58.636200000000002</v>
      </c>
      <c r="M1395" s="516">
        <f t="shared" si="112"/>
        <v>81.962507802347361</v>
      </c>
      <c r="N1395" s="587">
        <v>60</v>
      </c>
      <c r="O1395" s="588">
        <f t="shared" si="108"/>
        <v>80.099500000000006</v>
      </c>
      <c r="P1395" s="682">
        <f t="shared" ca="1" si="110"/>
        <v>17</v>
      </c>
      <c r="Q1395" s="552">
        <f t="shared" ca="1" si="109"/>
        <v>3444.2785000000003</v>
      </c>
      <c r="R1395" s="563">
        <f t="shared" ca="1" si="111"/>
        <v>3444.2785000000003</v>
      </c>
      <c r="S1395" s="513" t="s">
        <v>4964</v>
      </c>
    </row>
    <row r="1396" spans="2:19" ht="29.25" x14ac:dyDescent="0.25">
      <c r="B1396" s="862">
        <v>45351</v>
      </c>
      <c r="C1396" s="683">
        <v>45462</v>
      </c>
      <c r="D1396" s="683"/>
      <c r="E1396" s="520" t="s">
        <v>5340</v>
      </c>
      <c r="F1396" s="681" t="s">
        <v>5318</v>
      </c>
      <c r="G1396" s="759" t="s">
        <v>5264</v>
      </c>
      <c r="H1396" s="541" t="s">
        <v>5380</v>
      </c>
      <c r="I1396" t="s">
        <v>6016</v>
      </c>
      <c r="J1396" s="686" t="s">
        <v>6017</v>
      </c>
      <c r="K1396" s="684">
        <v>4805.97</v>
      </c>
      <c r="L1396" s="543">
        <v>58.636200000000002</v>
      </c>
      <c r="M1396" s="516">
        <f t="shared" si="112"/>
        <v>81.962507802347361</v>
      </c>
      <c r="N1396" s="587">
        <v>60</v>
      </c>
      <c r="O1396" s="588">
        <f t="shared" si="108"/>
        <v>80.099500000000006</v>
      </c>
      <c r="P1396" s="682">
        <f t="shared" ca="1" si="110"/>
        <v>17</v>
      </c>
      <c r="Q1396" s="552">
        <f t="shared" ca="1" si="109"/>
        <v>3444.2785000000003</v>
      </c>
      <c r="R1396" s="563">
        <f t="shared" ca="1" si="111"/>
        <v>3444.2785000000003</v>
      </c>
      <c r="S1396" s="513" t="s">
        <v>4964</v>
      </c>
    </row>
    <row r="1397" spans="2:19" ht="29.25" x14ac:dyDescent="0.25">
      <c r="B1397" s="862">
        <v>45351</v>
      </c>
      <c r="C1397" s="683">
        <v>45462</v>
      </c>
      <c r="D1397" s="683"/>
      <c r="E1397" s="520" t="s">
        <v>5340</v>
      </c>
      <c r="F1397" s="681" t="s">
        <v>5319</v>
      </c>
      <c r="G1397" s="759" t="s">
        <v>5264</v>
      </c>
      <c r="H1397" s="541" t="s">
        <v>5391</v>
      </c>
      <c r="I1397" t="s">
        <v>6016</v>
      </c>
      <c r="J1397" s="686" t="s">
        <v>6017</v>
      </c>
      <c r="K1397" s="684">
        <v>4805.97</v>
      </c>
      <c r="L1397" s="543">
        <v>58.636200000000002</v>
      </c>
      <c r="M1397" s="516">
        <f t="shared" si="112"/>
        <v>81.962507802347361</v>
      </c>
      <c r="N1397" s="587">
        <v>60</v>
      </c>
      <c r="O1397" s="588">
        <f t="shared" ref="O1397:O1460" si="113">+K1397/N1397</f>
        <v>80.099500000000006</v>
      </c>
      <c r="P1397" s="682">
        <f t="shared" ca="1" si="110"/>
        <v>17</v>
      </c>
      <c r="Q1397" s="552">
        <f t="shared" ca="1" si="109"/>
        <v>3444.2785000000003</v>
      </c>
      <c r="R1397" s="563">
        <f t="shared" ca="1" si="111"/>
        <v>3444.2785000000003</v>
      </c>
      <c r="S1397" s="513" t="s">
        <v>4964</v>
      </c>
    </row>
    <row r="1398" spans="2:19" ht="29.25" x14ac:dyDescent="0.25">
      <c r="B1398" s="862">
        <v>45351</v>
      </c>
      <c r="C1398" s="683">
        <v>45462</v>
      </c>
      <c r="D1398" s="683"/>
      <c r="E1398" s="520" t="s">
        <v>5340</v>
      </c>
      <c r="F1398" s="681" t="s">
        <v>5320</v>
      </c>
      <c r="G1398" s="759" t="s">
        <v>5264</v>
      </c>
      <c r="H1398" s="541" t="s">
        <v>5392</v>
      </c>
      <c r="I1398" t="s">
        <v>6016</v>
      </c>
      <c r="J1398" s="686" t="s">
        <v>6017</v>
      </c>
      <c r="K1398" s="684">
        <v>4805.97</v>
      </c>
      <c r="L1398" s="543">
        <v>58.636200000000002</v>
      </c>
      <c r="M1398" s="516">
        <f t="shared" si="112"/>
        <v>81.962507802347361</v>
      </c>
      <c r="N1398" s="587">
        <v>60</v>
      </c>
      <c r="O1398" s="588">
        <f t="shared" si="113"/>
        <v>80.099500000000006</v>
      </c>
      <c r="P1398" s="682">
        <f t="shared" ca="1" si="110"/>
        <v>17</v>
      </c>
      <c r="Q1398" s="552">
        <f t="shared" ca="1" si="109"/>
        <v>3444.2785000000003</v>
      </c>
      <c r="R1398" s="563">
        <f t="shared" ca="1" si="111"/>
        <v>3444.2785000000003</v>
      </c>
      <c r="S1398" s="513" t="s">
        <v>4964</v>
      </c>
    </row>
    <row r="1399" spans="2:19" ht="29.25" x14ac:dyDescent="0.25">
      <c r="B1399" s="862">
        <v>45351</v>
      </c>
      <c r="C1399" s="683">
        <v>45462</v>
      </c>
      <c r="D1399" s="683"/>
      <c r="E1399" s="520" t="s">
        <v>5340</v>
      </c>
      <c r="F1399" s="681" t="s">
        <v>5321</v>
      </c>
      <c r="G1399" s="759" t="s">
        <v>5264</v>
      </c>
      <c r="H1399" s="541" t="s">
        <v>5372</v>
      </c>
      <c r="I1399" t="s">
        <v>6016</v>
      </c>
      <c r="J1399" s="686" t="s">
        <v>6017</v>
      </c>
      <c r="K1399" s="684">
        <v>4805.97</v>
      </c>
      <c r="L1399" s="543">
        <v>58.636200000000002</v>
      </c>
      <c r="M1399" s="516">
        <f t="shared" si="112"/>
        <v>81.962507802347361</v>
      </c>
      <c r="N1399" s="587">
        <v>60</v>
      </c>
      <c r="O1399" s="588">
        <f t="shared" si="113"/>
        <v>80.099500000000006</v>
      </c>
      <c r="P1399" s="682">
        <f t="shared" ca="1" si="110"/>
        <v>17</v>
      </c>
      <c r="Q1399" s="552">
        <f t="shared" ca="1" si="109"/>
        <v>3444.2785000000003</v>
      </c>
      <c r="R1399" s="563">
        <f t="shared" ca="1" si="111"/>
        <v>3444.2785000000003</v>
      </c>
      <c r="S1399" s="513" t="s">
        <v>4964</v>
      </c>
    </row>
    <row r="1400" spans="2:19" ht="29.25" x14ac:dyDescent="0.25">
      <c r="B1400" s="862">
        <v>45351</v>
      </c>
      <c r="C1400" s="683">
        <v>45462</v>
      </c>
      <c r="D1400" s="683"/>
      <c r="E1400" s="520" t="s">
        <v>5340</v>
      </c>
      <c r="F1400" s="681" t="s">
        <v>5322</v>
      </c>
      <c r="G1400" s="759" t="s">
        <v>5264</v>
      </c>
      <c r="H1400" s="541" t="s">
        <v>5393</v>
      </c>
      <c r="I1400" t="s">
        <v>6016</v>
      </c>
      <c r="J1400" s="686" t="s">
        <v>6017</v>
      </c>
      <c r="K1400" s="684">
        <v>4805.97</v>
      </c>
      <c r="L1400" s="543">
        <v>58.636200000000002</v>
      </c>
      <c r="M1400" s="516">
        <f t="shared" si="112"/>
        <v>81.962507802347361</v>
      </c>
      <c r="N1400" s="587">
        <v>60</v>
      </c>
      <c r="O1400" s="588">
        <f t="shared" si="113"/>
        <v>80.099500000000006</v>
      </c>
      <c r="P1400" s="682">
        <f t="shared" ca="1" si="110"/>
        <v>17</v>
      </c>
      <c r="Q1400" s="552">
        <f t="shared" ca="1" si="109"/>
        <v>3444.2785000000003</v>
      </c>
      <c r="R1400" s="563">
        <f t="shared" ca="1" si="111"/>
        <v>3444.2785000000003</v>
      </c>
      <c r="S1400" s="513" t="s">
        <v>4964</v>
      </c>
    </row>
    <row r="1401" spans="2:19" ht="29.25" x14ac:dyDescent="0.25">
      <c r="B1401" s="862">
        <v>45351</v>
      </c>
      <c r="C1401" s="683">
        <v>45462</v>
      </c>
      <c r="D1401" s="683"/>
      <c r="E1401" s="520" t="s">
        <v>5340</v>
      </c>
      <c r="F1401" s="681" t="s">
        <v>5323</v>
      </c>
      <c r="G1401" s="759" t="s">
        <v>5264</v>
      </c>
      <c r="H1401" s="541" t="s">
        <v>5394</v>
      </c>
      <c r="I1401" t="s">
        <v>6016</v>
      </c>
      <c r="J1401" s="686" t="s">
        <v>6017</v>
      </c>
      <c r="K1401" s="684">
        <v>4805.97</v>
      </c>
      <c r="L1401" s="543">
        <v>58.636200000000002</v>
      </c>
      <c r="M1401" s="516">
        <f t="shared" si="112"/>
        <v>81.962507802347361</v>
      </c>
      <c r="N1401" s="587">
        <v>60</v>
      </c>
      <c r="O1401" s="588">
        <f t="shared" si="113"/>
        <v>80.099500000000006</v>
      </c>
      <c r="P1401" s="682">
        <f t="shared" ca="1" si="110"/>
        <v>17</v>
      </c>
      <c r="Q1401" s="552">
        <f t="shared" ca="1" si="109"/>
        <v>3444.2785000000003</v>
      </c>
      <c r="R1401" s="563">
        <f t="shared" ca="1" si="111"/>
        <v>3444.2785000000003</v>
      </c>
      <c r="S1401" s="513" t="s">
        <v>4964</v>
      </c>
    </row>
    <row r="1402" spans="2:19" ht="29.25" x14ac:dyDescent="0.25">
      <c r="B1402" s="862">
        <v>45351</v>
      </c>
      <c r="C1402" s="683">
        <v>45462</v>
      </c>
      <c r="D1402" s="683"/>
      <c r="E1402" s="520" t="s">
        <v>5340</v>
      </c>
      <c r="F1402" s="681" t="s">
        <v>5324</v>
      </c>
      <c r="G1402" s="759" t="s">
        <v>5264</v>
      </c>
      <c r="H1402" s="541" t="s">
        <v>5361</v>
      </c>
      <c r="I1402" t="s">
        <v>6016</v>
      </c>
      <c r="J1402" s="686" t="s">
        <v>6017</v>
      </c>
      <c r="K1402" s="684">
        <v>4805.97</v>
      </c>
      <c r="L1402" s="543">
        <v>58.636200000000002</v>
      </c>
      <c r="M1402" s="516">
        <f t="shared" si="112"/>
        <v>81.962507802347361</v>
      </c>
      <c r="N1402" s="587">
        <v>60</v>
      </c>
      <c r="O1402" s="588">
        <f t="shared" si="113"/>
        <v>80.099500000000006</v>
      </c>
      <c r="P1402" s="682">
        <f t="shared" ca="1" si="110"/>
        <v>17</v>
      </c>
      <c r="Q1402" s="552">
        <f t="shared" ca="1" si="109"/>
        <v>3444.2785000000003</v>
      </c>
      <c r="R1402" s="563">
        <f t="shared" ca="1" si="111"/>
        <v>3444.2785000000003</v>
      </c>
      <c r="S1402" s="513" t="s">
        <v>4964</v>
      </c>
    </row>
    <row r="1403" spans="2:19" ht="29.25" x14ac:dyDescent="0.25">
      <c r="B1403" s="862">
        <v>45351</v>
      </c>
      <c r="C1403" s="683">
        <v>45462</v>
      </c>
      <c r="D1403" s="683"/>
      <c r="E1403" s="520" t="s">
        <v>5340</v>
      </c>
      <c r="F1403" s="681" t="s">
        <v>5325</v>
      </c>
      <c r="G1403" s="759" t="s">
        <v>5264</v>
      </c>
      <c r="H1403" s="541" t="s">
        <v>5367</v>
      </c>
      <c r="I1403" t="s">
        <v>6016</v>
      </c>
      <c r="J1403" s="686" t="s">
        <v>6017</v>
      </c>
      <c r="K1403" s="684">
        <v>4805.97</v>
      </c>
      <c r="L1403" s="543">
        <v>58.636200000000002</v>
      </c>
      <c r="M1403" s="516">
        <f t="shared" si="112"/>
        <v>81.962507802347361</v>
      </c>
      <c r="N1403" s="587">
        <v>60</v>
      </c>
      <c r="O1403" s="588">
        <f t="shared" si="113"/>
        <v>80.099500000000006</v>
      </c>
      <c r="P1403" s="682">
        <f t="shared" ca="1" si="110"/>
        <v>17</v>
      </c>
      <c r="Q1403" s="552">
        <f t="shared" ca="1" si="109"/>
        <v>3444.2785000000003</v>
      </c>
      <c r="R1403" s="563">
        <f t="shared" ca="1" si="111"/>
        <v>3444.2785000000003</v>
      </c>
      <c r="S1403" s="513" t="s">
        <v>4964</v>
      </c>
    </row>
    <row r="1404" spans="2:19" ht="29.25" x14ac:dyDescent="0.25">
      <c r="B1404" s="862">
        <v>45351</v>
      </c>
      <c r="C1404" s="683">
        <v>45462</v>
      </c>
      <c r="D1404" s="683"/>
      <c r="E1404" s="520" t="s">
        <v>5340</v>
      </c>
      <c r="F1404" s="681" t="s">
        <v>5326</v>
      </c>
      <c r="G1404" s="759" t="s">
        <v>5264</v>
      </c>
      <c r="H1404" s="541" t="s">
        <v>5395</v>
      </c>
      <c r="I1404" t="s">
        <v>6016</v>
      </c>
      <c r="J1404" s="686" t="s">
        <v>6017</v>
      </c>
      <c r="K1404" s="684">
        <v>4805.97</v>
      </c>
      <c r="L1404" s="543">
        <v>58.636200000000002</v>
      </c>
      <c r="M1404" s="516">
        <f t="shared" si="112"/>
        <v>81.962507802347361</v>
      </c>
      <c r="N1404" s="587">
        <v>60</v>
      </c>
      <c r="O1404" s="588">
        <f t="shared" si="113"/>
        <v>80.099500000000006</v>
      </c>
      <c r="P1404" s="682">
        <f t="shared" ca="1" si="110"/>
        <v>17</v>
      </c>
      <c r="Q1404" s="552">
        <f t="shared" ca="1" si="109"/>
        <v>3444.2785000000003</v>
      </c>
      <c r="R1404" s="563">
        <f t="shared" ca="1" si="111"/>
        <v>3444.2785000000003</v>
      </c>
      <c r="S1404" s="513" t="s">
        <v>4964</v>
      </c>
    </row>
    <row r="1405" spans="2:19" ht="29.25" x14ac:dyDescent="0.25">
      <c r="B1405" s="862">
        <v>45351</v>
      </c>
      <c r="C1405" s="683">
        <v>45462</v>
      </c>
      <c r="D1405" s="683"/>
      <c r="E1405" s="520" t="s">
        <v>5340</v>
      </c>
      <c r="F1405" s="681" t="s">
        <v>5339</v>
      </c>
      <c r="G1405" s="759" t="s">
        <v>5264</v>
      </c>
      <c r="H1405" s="541" t="s">
        <v>5396</v>
      </c>
      <c r="I1405" t="s">
        <v>6016</v>
      </c>
      <c r="J1405" s="686" t="s">
        <v>6017</v>
      </c>
      <c r="K1405" s="684">
        <v>4805.97</v>
      </c>
      <c r="L1405" s="543">
        <v>58.636200000000002</v>
      </c>
      <c r="M1405" s="516">
        <f t="shared" si="112"/>
        <v>81.962507802347361</v>
      </c>
      <c r="N1405" s="587">
        <v>60</v>
      </c>
      <c r="O1405" s="588">
        <f t="shared" si="113"/>
        <v>80.099500000000006</v>
      </c>
      <c r="P1405" s="682">
        <f t="shared" ca="1" si="110"/>
        <v>17</v>
      </c>
      <c r="Q1405" s="552">
        <f t="shared" ca="1" si="109"/>
        <v>3444.2785000000003</v>
      </c>
      <c r="R1405" s="563">
        <f t="shared" ca="1" si="111"/>
        <v>3444.2785000000003</v>
      </c>
      <c r="S1405" s="513" t="s">
        <v>4964</v>
      </c>
    </row>
    <row r="1406" spans="2:19" ht="29.25" x14ac:dyDescent="0.25">
      <c r="B1406" s="862">
        <v>45351</v>
      </c>
      <c r="C1406" s="683">
        <v>45462</v>
      </c>
      <c r="D1406" s="683"/>
      <c r="E1406" s="520" t="s">
        <v>5340</v>
      </c>
      <c r="F1406" s="681" t="s">
        <v>5327</v>
      </c>
      <c r="G1406" s="759" t="s">
        <v>5264</v>
      </c>
      <c r="H1406" s="541" t="s">
        <v>5397</v>
      </c>
      <c r="I1406" t="s">
        <v>6016</v>
      </c>
      <c r="J1406" s="686" t="s">
        <v>6017</v>
      </c>
      <c r="K1406" s="684">
        <v>4805.97</v>
      </c>
      <c r="L1406" s="543">
        <v>58.636200000000002</v>
      </c>
      <c r="M1406" s="516">
        <f t="shared" si="112"/>
        <v>81.962507802347361</v>
      </c>
      <c r="N1406" s="587">
        <v>60</v>
      </c>
      <c r="O1406" s="588">
        <f t="shared" si="113"/>
        <v>80.099500000000006</v>
      </c>
      <c r="P1406" s="682">
        <f t="shared" ca="1" si="110"/>
        <v>17</v>
      </c>
      <c r="Q1406" s="552">
        <f t="shared" ca="1" si="109"/>
        <v>3444.2785000000003</v>
      </c>
      <c r="R1406" s="563">
        <f t="shared" ca="1" si="111"/>
        <v>3444.2785000000003</v>
      </c>
      <c r="S1406" s="513" t="s">
        <v>4964</v>
      </c>
    </row>
    <row r="1407" spans="2:19" ht="29.25" x14ac:dyDescent="0.25">
      <c r="B1407" s="862">
        <v>45351</v>
      </c>
      <c r="C1407" s="683">
        <v>45462</v>
      </c>
      <c r="D1407" s="683"/>
      <c r="E1407" s="520" t="s">
        <v>5340</v>
      </c>
      <c r="F1407" s="681" t="s">
        <v>5328</v>
      </c>
      <c r="G1407" s="759" t="s">
        <v>5264</v>
      </c>
      <c r="H1407" s="541" t="s">
        <v>5382</v>
      </c>
      <c r="I1407" t="s">
        <v>6016</v>
      </c>
      <c r="J1407" s="686" t="s">
        <v>6017</v>
      </c>
      <c r="K1407" s="684">
        <v>4805.97</v>
      </c>
      <c r="L1407" s="543">
        <v>58.636200000000002</v>
      </c>
      <c r="M1407" s="516">
        <f t="shared" si="112"/>
        <v>81.962507802347361</v>
      </c>
      <c r="N1407" s="587">
        <v>60</v>
      </c>
      <c r="O1407" s="588">
        <f t="shared" si="113"/>
        <v>80.099500000000006</v>
      </c>
      <c r="P1407" s="682">
        <f t="shared" ca="1" si="110"/>
        <v>17</v>
      </c>
      <c r="Q1407" s="552">
        <f t="shared" ca="1" si="109"/>
        <v>3444.2785000000003</v>
      </c>
      <c r="R1407" s="563">
        <f t="shared" ca="1" si="111"/>
        <v>3444.2785000000003</v>
      </c>
      <c r="S1407" s="513" t="s">
        <v>4964</v>
      </c>
    </row>
    <row r="1408" spans="2:19" ht="29.25" x14ac:dyDescent="0.25">
      <c r="B1408" s="862">
        <v>45351</v>
      </c>
      <c r="C1408" s="683">
        <v>45462</v>
      </c>
      <c r="D1408" s="683"/>
      <c r="E1408" s="520" t="s">
        <v>5340</v>
      </c>
      <c r="F1408" s="681" t="s">
        <v>5329</v>
      </c>
      <c r="G1408" s="759" t="s">
        <v>5264</v>
      </c>
      <c r="H1408" s="541" t="s">
        <v>5352</v>
      </c>
      <c r="I1408" t="s">
        <v>6016</v>
      </c>
      <c r="J1408" s="686" t="s">
        <v>6017</v>
      </c>
      <c r="K1408" s="684">
        <v>4805.97</v>
      </c>
      <c r="L1408" s="543">
        <v>58.636200000000002</v>
      </c>
      <c r="M1408" s="516">
        <f t="shared" si="112"/>
        <v>81.962507802347361</v>
      </c>
      <c r="N1408" s="587">
        <v>60</v>
      </c>
      <c r="O1408" s="588">
        <f t="shared" si="113"/>
        <v>80.099500000000006</v>
      </c>
      <c r="P1408" s="682">
        <f t="shared" ca="1" si="110"/>
        <v>17</v>
      </c>
      <c r="Q1408" s="552">
        <f t="shared" ca="1" si="109"/>
        <v>3444.2785000000003</v>
      </c>
      <c r="R1408" s="563">
        <f t="shared" ca="1" si="111"/>
        <v>3444.2785000000003</v>
      </c>
      <c r="S1408" s="513" t="s">
        <v>4964</v>
      </c>
    </row>
    <row r="1409" spans="2:19" ht="29.25" x14ac:dyDescent="0.25">
      <c r="B1409" s="862">
        <v>45351</v>
      </c>
      <c r="C1409" s="683">
        <v>45462</v>
      </c>
      <c r="D1409" s="683"/>
      <c r="E1409" s="520" t="s">
        <v>5340</v>
      </c>
      <c r="F1409" s="681" t="s">
        <v>5279</v>
      </c>
      <c r="G1409" s="759" t="s">
        <v>5264</v>
      </c>
      <c r="H1409" s="541" t="s">
        <v>5345</v>
      </c>
      <c r="I1409" t="s">
        <v>6016</v>
      </c>
      <c r="J1409" s="686" t="s">
        <v>6017</v>
      </c>
      <c r="K1409" s="684">
        <v>4805.97</v>
      </c>
      <c r="L1409" s="543">
        <v>58.636200000000002</v>
      </c>
      <c r="M1409" s="516">
        <f t="shared" si="112"/>
        <v>81.962507802347361</v>
      </c>
      <c r="N1409" s="587">
        <v>60</v>
      </c>
      <c r="O1409" s="588">
        <f t="shared" si="113"/>
        <v>80.099500000000006</v>
      </c>
      <c r="P1409" s="682">
        <f t="shared" ca="1" si="110"/>
        <v>17</v>
      </c>
      <c r="Q1409" s="552">
        <f t="shared" ca="1" si="109"/>
        <v>3444.2785000000003</v>
      </c>
      <c r="R1409" s="563">
        <f t="shared" ca="1" si="111"/>
        <v>3444.2785000000003</v>
      </c>
      <c r="S1409" s="513" t="s">
        <v>4964</v>
      </c>
    </row>
    <row r="1410" spans="2:19" ht="29.25" x14ac:dyDescent="0.25">
      <c r="B1410" s="862">
        <v>45351</v>
      </c>
      <c r="C1410" s="683">
        <v>45462</v>
      </c>
      <c r="D1410" s="683"/>
      <c r="E1410" s="520" t="s">
        <v>5340</v>
      </c>
      <c r="F1410" s="681" t="s">
        <v>5330</v>
      </c>
      <c r="G1410" s="759" t="s">
        <v>5264</v>
      </c>
      <c r="H1410" s="541" t="s">
        <v>5359</v>
      </c>
      <c r="I1410" t="s">
        <v>6016</v>
      </c>
      <c r="J1410" s="686" t="s">
        <v>6017</v>
      </c>
      <c r="K1410" s="684">
        <v>4805.97</v>
      </c>
      <c r="L1410" s="543">
        <v>58.636200000000002</v>
      </c>
      <c r="M1410" s="516">
        <f t="shared" si="112"/>
        <v>81.962507802347361</v>
      </c>
      <c r="N1410" s="587">
        <v>60</v>
      </c>
      <c r="O1410" s="588">
        <f t="shared" si="113"/>
        <v>80.099500000000006</v>
      </c>
      <c r="P1410" s="682">
        <f t="shared" ca="1" si="110"/>
        <v>17</v>
      </c>
      <c r="Q1410" s="552">
        <f t="shared" ref="Q1410:Q1473" ca="1" si="114">IF(OR(K1410=0,N1410=0,P1410=0),0,K1410-(O1410*P1410))</f>
        <v>3444.2785000000003</v>
      </c>
      <c r="R1410" s="563">
        <f t="shared" ca="1" si="111"/>
        <v>3444.2785000000003</v>
      </c>
      <c r="S1410" s="513" t="s">
        <v>4964</v>
      </c>
    </row>
    <row r="1411" spans="2:19" ht="29.25" x14ac:dyDescent="0.25">
      <c r="B1411" s="862">
        <v>45351</v>
      </c>
      <c r="C1411" s="683">
        <v>45462</v>
      </c>
      <c r="D1411" s="683"/>
      <c r="E1411" s="520" t="s">
        <v>5340</v>
      </c>
      <c r="F1411" s="681" t="s">
        <v>5331</v>
      </c>
      <c r="G1411" s="759" t="s">
        <v>5264</v>
      </c>
      <c r="H1411" s="541" t="s">
        <v>5355</v>
      </c>
      <c r="I1411" t="s">
        <v>6016</v>
      </c>
      <c r="J1411" s="686" t="s">
        <v>6017</v>
      </c>
      <c r="K1411" s="684">
        <v>4805.97</v>
      </c>
      <c r="L1411" s="543">
        <v>58.636200000000002</v>
      </c>
      <c r="M1411" s="516">
        <f t="shared" si="112"/>
        <v>81.962507802347361</v>
      </c>
      <c r="N1411" s="587">
        <v>60</v>
      </c>
      <c r="O1411" s="588">
        <f t="shared" si="113"/>
        <v>80.099500000000006</v>
      </c>
      <c r="P1411" s="682">
        <f t="shared" ca="1" si="110"/>
        <v>17</v>
      </c>
      <c r="Q1411" s="552">
        <f t="shared" ca="1" si="114"/>
        <v>3444.2785000000003</v>
      </c>
      <c r="R1411" s="563">
        <f t="shared" ca="1" si="111"/>
        <v>3444.2785000000003</v>
      </c>
      <c r="S1411" s="513" t="s">
        <v>4964</v>
      </c>
    </row>
    <row r="1412" spans="2:19" ht="29.25" x14ac:dyDescent="0.25">
      <c r="B1412" s="862">
        <v>45351</v>
      </c>
      <c r="C1412" s="683">
        <v>45462</v>
      </c>
      <c r="D1412" s="683"/>
      <c r="E1412" s="520" t="s">
        <v>5340</v>
      </c>
      <c r="F1412" s="681" t="s">
        <v>5332</v>
      </c>
      <c r="G1412" s="759" t="s">
        <v>5264</v>
      </c>
      <c r="H1412" s="541" t="s">
        <v>5358</v>
      </c>
      <c r="I1412" t="s">
        <v>6016</v>
      </c>
      <c r="J1412" s="686" t="s">
        <v>6017</v>
      </c>
      <c r="K1412" s="684">
        <v>4805.97</v>
      </c>
      <c r="L1412" s="543">
        <v>58.636200000000002</v>
      </c>
      <c r="M1412" s="516">
        <f t="shared" si="112"/>
        <v>81.962507802347361</v>
      </c>
      <c r="N1412" s="587">
        <v>60</v>
      </c>
      <c r="O1412" s="588">
        <f t="shared" si="113"/>
        <v>80.099500000000006</v>
      </c>
      <c r="P1412" s="682">
        <f t="shared" ca="1" si="110"/>
        <v>17</v>
      </c>
      <c r="Q1412" s="552">
        <f t="shared" ca="1" si="114"/>
        <v>3444.2785000000003</v>
      </c>
      <c r="R1412" s="563">
        <f t="shared" ca="1" si="111"/>
        <v>3444.2785000000003</v>
      </c>
      <c r="S1412" s="513" t="s">
        <v>4964</v>
      </c>
    </row>
    <row r="1413" spans="2:19" ht="29.25" x14ac:dyDescent="0.25">
      <c r="B1413" s="862">
        <v>45351</v>
      </c>
      <c r="C1413" s="683">
        <v>45462</v>
      </c>
      <c r="D1413" s="683"/>
      <c r="E1413" s="520" t="s">
        <v>5340</v>
      </c>
      <c r="F1413" s="681" t="s">
        <v>5333</v>
      </c>
      <c r="G1413" s="759" t="s">
        <v>5264</v>
      </c>
      <c r="H1413" s="541" t="s">
        <v>5354</v>
      </c>
      <c r="I1413" t="s">
        <v>6016</v>
      </c>
      <c r="J1413" s="686" t="s">
        <v>6017</v>
      </c>
      <c r="K1413" s="684">
        <v>4805.97</v>
      </c>
      <c r="L1413" s="543">
        <v>58.636200000000002</v>
      </c>
      <c r="M1413" s="516">
        <f t="shared" si="112"/>
        <v>81.962507802347361</v>
      </c>
      <c r="N1413" s="587">
        <v>60</v>
      </c>
      <c r="O1413" s="588">
        <f t="shared" si="113"/>
        <v>80.099500000000006</v>
      </c>
      <c r="P1413" s="682">
        <f t="shared" ca="1" si="110"/>
        <v>17</v>
      </c>
      <c r="Q1413" s="552">
        <f t="shared" ca="1" si="114"/>
        <v>3444.2785000000003</v>
      </c>
      <c r="R1413" s="563">
        <f t="shared" ca="1" si="111"/>
        <v>3444.2785000000003</v>
      </c>
      <c r="S1413" s="513" t="s">
        <v>4964</v>
      </c>
    </row>
    <row r="1414" spans="2:19" ht="29.25" x14ac:dyDescent="0.25">
      <c r="B1414" s="862">
        <v>45351</v>
      </c>
      <c r="C1414" s="683">
        <v>45462</v>
      </c>
      <c r="D1414" s="683"/>
      <c r="E1414" s="520" t="s">
        <v>5340</v>
      </c>
      <c r="F1414" s="681" t="s">
        <v>5274</v>
      </c>
      <c r="G1414" s="759" t="s">
        <v>5264</v>
      </c>
      <c r="H1414" s="541" t="s">
        <v>5398</v>
      </c>
      <c r="I1414" t="s">
        <v>6016</v>
      </c>
      <c r="J1414" s="686" t="s">
        <v>6017</v>
      </c>
      <c r="K1414" s="684">
        <v>4805.97</v>
      </c>
      <c r="L1414" s="543">
        <v>58.636200000000002</v>
      </c>
      <c r="M1414" s="516">
        <f t="shared" si="112"/>
        <v>81.962507802347361</v>
      </c>
      <c r="N1414" s="587">
        <v>60</v>
      </c>
      <c r="O1414" s="588">
        <f t="shared" si="113"/>
        <v>80.099500000000006</v>
      </c>
      <c r="P1414" s="682">
        <f t="shared" ca="1" si="110"/>
        <v>17</v>
      </c>
      <c r="Q1414" s="552">
        <f t="shared" ca="1" si="114"/>
        <v>3444.2785000000003</v>
      </c>
      <c r="R1414" s="563">
        <f t="shared" ca="1" si="111"/>
        <v>3444.2785000000003</v>
      </c>
      <c r="S1414" s="513" t="s">
        <v>4964</v>
      </c>
    </row>
    <row r="1415" spans="2:19" ht="29.25" x14ac:dyDescent="0.25">
      <c r="B1415" s="862">
        <v>45351</v>
      </c>
      <c r="C1415" s="683">
        <v>45462</v>
      </c>
      <c r="D1415" s="683"/>
      <c r="E1415" s="520" t="s">
        <v>5340</v>
      </c>
      <c r="F1415" s="681" t="s">
        <v>5269</v>
      </c>
      <c r="G1415" s="759" t="s">
        <v>5264</v>
      </c>
      <c r="H1415" s="541" t="s">
        <v>5399</v>
      </c>
      <c r="I1415" t="s">
        <v>6016</v>
      </c>
      <c r="J1415" s="686" t="s">
        <v>6017</v>
      </c>
      <c r="K1415" s="684">
        <v>4805.97</v>
      </c>
      <c r="L1415" s="543">
        <v>58.636200000000002</v>
      </c>
      <c r="M1415" s="516">
        <f t="shared" si="112"/>
        <v>81.962507802347361</v>
      </c>
      <c r="N1415" s="587">
        <v>60</v>
      </c>
      <c r="O1415" s="588">
        <f t="shared" si="113"/>
        <v>80.099500000000006</v>
      </c>
      <c r="P1415" s="682">
        <f t="shared" ca="1" si="110"/>
        <v>17</v>
      </c>
      <c r="Q1415" s="552">
        <f t="shared" ca="1" si="114"/>
        <v>3444.2785000000003</v>
      </c>
      <c r="R1415" s="563">
        <f t="shared" ca="1" si="111"/>
        <v>3444.2785000000003</v>
      </c>
      <c r="S1415" s="513" t="s">
        <v>4964</v>
      </c>
    </row>
    <row r="1416" spans="2:19" ht="29.25" x14ac:dyDescent="0.25">
      <c r="B1416" s="862">
        <v>45351</v>
      </c>
      <c r="C1416" s="683">
        <v>45462</v>
      </c>
      <c r="D1416" s="683"/>
      <c r="E1416" s="520" t="s">
        <v>5340</v>
      </c>
      <c r="F1416" s="681" t="s">
        <v>5334</v>
      </c>
      <c r="G1416" s="759" t="s">
        <v>5264</v>
      </c>
      <c r="H1416" s="541" t="s">
        <v>5375</v>
      </c>
      <c r="I1416" t="s">
        <v>6016</v>
      </c>
      <c r="J1416" s="686" t="s">
        <v>6017</v>
      </c>
      <c r="K1416" s="684">
        <v>4805.97</v>
      </c>
      <c r="L1416" s="543">
        <v>58.636200000000002</v>
      </c>
      <c r="M1416" s="516">
        <f t="shared" si="112"/>
        <v>81.962507802347361</v>
      </c>
      <c r="N1416" s="587">
        <v>60</v>
      </c>
      <c r="O1416" s="588">
        <f t="shared" si="113"/>
        <v>80.099500000000006</v>
      </c>
      <c r="P1416" s="682">
        <f t="shared" ref="P1416:P1479" ca="1" si="115">IF(B1416&lt;&gt;0,(ROUND((NOW()-B1416)/30,0)),0)</f>
        <v>17</v>
      </c>
      <c r="Q1416" s="552">
        <f t="shared" ca="1" si="114"/>
        <v>3444.2785000000003</v>
      </c>
      <c r="R1416" s="563">
        <f t="shared" ref="R1416:R1479" ca="1" si="116">IF(Q1416&lt;1,1,Q1416)</f>
        <v>3444.2785000000003</v>
      </c>
      <c r="S1416" s="513" t="s">
        <v>4964</v>
      </c>
    </row>
    <row r="1417" spans="2:19" ht="29.25" x14ac:dyDescent="0.25">
      <c r="B1417" s="862">
        <v>45351</v>
      </c>
      <c r="C1417" s="683">
        <v>45462</v>
      </c>
      <c r="D1417" s="683"/>
      <c r="E1417" s="520" t="s">
        <v>5340</v>
      </c>
      <c r="F1417" s="681" t="s">
        <v>5335</v>
      </c>
      <c r="G1417" s="759" t="s">
        <v>5264</v>
      </c>
      <c r="H1417" s="541" t="s">
        <v>5373</v>
      </c>
      <c r="I1417" t="s">
        <v>6016</v>
      </c>
      <c r="J1417" s="686" t="s">
        <v>6017</v>
      </c>
      <c r="K1417" s="684">
        <v>4805.97</v>
      </c>
      <c r="L1417" s="543">
        <v>58.636200000000002</v>
      </c>
      <c r="M1417" s="516">
        <f t="shared" si="112"/>
        <v>81.962507802347361</v>
      </c>
      <c r="N1417" s="587">
        <v>60</v>
      </c>
      <c r="O1417" s="588">
        <f t="shared" si="113"/>
        <v>80.099500000000006</v>
      </c>
      <c r="P1417" s="682">
        <f t="shared" ca="1" si="115"/>
        <v>17</v>
      </c>
      <c r="Q1417" s="552">
        <f t="shared" ca="1" si="114"/>
        <v>3444.2785000000003</v>
      </c>
      <c r="R1417" s="563">
        <f t="shared" ca="1" si="116"/>
        <v>3444.2785000000003</v>
      </c>
      <c r="S1417" s="513" t="s">
        <v>4964</v>
      </c>
    </row>
    <row r="1418" spans="2:19" ht="29.25" x14ac:dyDescent="0.25">
      <c r="B1418" s="862">
        <v>45351</v>
      </c>
      <c r="C1418" s="683">
        <v>45462</v>
      </c>
      <c r="D1418" s="683"/>
      <c r="E1418" s="520" t="s">
        <v>5340</v>
      </c>
      <c r="F1418" s="681" t="s">
        <v>5336</v>
      </c>
      <c r="G1418" s="759" t="s">
        <v>5264</v>
      </c>
      <c r="H1418" s="541" t="s">
        <v>5365</v>
      </c>
      <c r="I1418" t="s">
        <v>6016</v>
      </c>
      <c r="J1418" s="686" t="s">
        <v>6017</v>
      </c>
      <c r="K1418" s="684">
        <v>4805.97</v>
      </c>
      <c r="L1418" s="543">
        <v>58.636200000000002</v>
      </c>
      <c r="M1418" s="516">
        <f t="shared" si="112"/>
        <v>81.962507802347361</v>
      </c>
      <c r="N1418" s="587">
        <v>60</v>
      </c>
      <c r="O1418" s="588">
        <f t="shared" si="113"/>
        <v>80.099500000000006</v>
      </c>
      <c r="P1418" s="682">
        <f t="shared" ca="1" si="115"/>
        <v>17</v>
      </c>
      <c r="Q1418" s="552">
        <f t="shared" ca="1" si="114"/>
        <v>3444.2785000000003</v>
      </c>
      <c r="R1418" s="563">
        <f t="shared" ca="1" si="116"/>
        <v>3444.2785000000003</v>
      </c>
      <c r="S1418" s="513" t="s">
        <v>4964</v>
      </c>
    </row>
    <row r="1419" spans="2:19" ht="29.25" x14ac:dyDescent="0.25">
      <c r="B1419" s="862">
        <v>45351</v>
      </c>
      <c r="C1419" s="683">
        <v>45462</v>
      </c>
      <c r="D1419" s="683"/>
      <c r="E1419" s="520" t="s">
        <v>5340</v>
      </c>
      <c r="F1419" s="681" t="s">
        <v>5337</v>
      </c>
      <c r="G1419" s="759" t="s">
        <v>5264</v>
      </c>
      <c r="H1419" s="541" t="s">
        <v>5356</v>
      </c>
      <c r="I1419" s="537" t="s">
        <v>6016</v>
      </c>
      <c r="J1419" s="748" t="s">
        <v>6017</v>
      </c>
      <c r="K1419" s="684">
        <v>4805.97</v>
      </c>
      <c r="L1419" s="543">
        <v>58.636200000000002</v>
      </c>
      <c r="M1419" s="516">
        <f t="shared" si="112"/>
        <v>81.962507802347361</v>
      </c>
      <c r="N1419" s="587">
        <v>60</v>
      </c>
      <c r="O1419" s="588">
        <f t="shared" si="113"/>
        <v>80.099500000000006</v>
      </c>
      <c r="P1419" s="682">
        <f t="shared" ca="1" si="115"/>
        <v>17</v>
      </c>
      <c r="Q1419" s="552">
        <f t="shared" ca="1" si="114"/>
        <v>3444.2785000000003</v>
      </c>
      <c r="R1419" s="563">
        <f t="shared" ca="1" si="116"/>
        <v>3444.2785000000003</v>
      </c>
      <c r="S1419" s="513" t="s">
        <v>4964</v>
      </c>
    </row>
    <row r="1420" spans="2:19" ht="29.25" x14ac:dyDescent="0.25">
      <c r="B1420" s="862">
        <v>45351</v>
      </c>
      <c r="C1420" s="681">
        <v>45460</v>
      </c>
      <c r="D1420" s="681"/>
      <c r="E1420" s="520" t="s">
        <v>4997</v>
      </c>
      <c r="F1420" s="513" t="s">
        <v>5116</v>
      </c>
      <c r="G1420" s="759" t="s">
        <v>4963</v>
      </c>
      <c r="H1420" s="541" t="s">
        <v>5599</v>
      </c>
      <c r="I1420" s="537" t="s">
        <v>6016</v>
      </c>
      <c r="J1420" s="748" t="s">
        <v>6017</v>
      </c>
      <c r="K1420" s="684">
        <v>101901.35</v>
      </c>
      <c r="L1420" s="543">
        <v>58.636200000000002</v>
      </c>
      <c r="M1420" s="516">
        <f t="shared" si="112"/>
        <v>1737.8573304545657</v>
      </c>
      <c r="N1420" s="587">
        <v>60</v>
      </c>
      <c r="O1420" s="588">
        <f t="shared" si="113"/>
        <v>1698.3558333333335</v>
      </c>
      <c r="P1420" s="682">
        <f t="shared" ca="1" si="115"/>
        <v>17</v>
      </c>
      <c r="Q1420" s="552">
        <f t="shared" ca="1" si="114"/>
        <v>73029.300833333342</v>
      </c>
      <c r="R1420" s="563">
        <f t="shared" ca="1" si="116"/>
        <v>73029.300833333342</v>
      </c>
      <c r="S1420" s="513" t="s">
        <v>4964</v>
      </c>
    </row>
    <row r="1421" spans="2:19" ht="29.25" x14ac:dyDescent="0.25">
      <c r="B1421" s="862">
        <v>45351</v>
      </c>
      <c r="C1421" s="683">
        <v>45462</v>
      </c>
      <c r="D1421" s="683"/>
      <c r="E1421" s="520" t="s">
        <v>5340</v>
      </c>
      <c r="F1421" s="681" t="s">
        <v>5445</v>
      </c>
      <c r="G1421" s="759" t="s">
        <v>5504</v>
      </c>
      <c r="H1421" s="541" t="s">
        <v>5582</v>
      </c>
      <c r="I1421" t="s">
        <v>6016</v>
      </c>
      <c r="J1421" s="686" t="s">
        <v>6017</v>
      </c>
      <c r="K1421" s="684">
        <v>10159.31</v>
      </c>
      <c r="L1421" s="543">
        <v>58.636200000000002</v>
      </c>
      <c r="M1421" s="516">
        <f t="shared" si="112"/>
        <v>173.26003390397057</v>
      </c>
      <c r="N1421" s="587">
        <v>60</v>
      </c>
      <c r="O1421" s="588">
        <f t="shared" si="113"/>
        <v>169.32183333333333</v>
      </c>
      <c r="P1421" s="682">
        <f t="shared" ca="1" si="115"/>
        <v>17</v>
      </c>
      <c r="Q1421" s="552">
        <f t="shared" ca="1" si="114"/>
        <v>7280.8388333333332</v>
      </c>
      <c r="R1421" s="563">
        <f t="shared" ca="1" si="116"/>
        <v>7280.8388333333332</v>
      </c>
      <c r="S1421" s="513" t="s">
        <v>4964</v>
      </c>
    </row>
    <row r="1422" spans="2:19" ht="29.25" x14ac:dyDescent="0.25">
      <c r="B1422" s="862">
        <v>45351</v>
      </c>
      <c r="C1422" s="683">
        <v>45462</v>
      </c>
      <c r="D1422" s="683"/>
      <c r="E1422" s="520" t="s">
        <v>5340</v>
      </c>
      <c r="F1422" s="681" t="s">
        <v>5444</v>
      </c>
      <c r="G1422" s="759" t="s">
        <v>5503</v>
      </c>
      <c r="H1422" s="541" t="s">
        <v>5581</v>
      </c>
      <c r="I1422" t="s">
        <v>6016</v>
      </c>
      <c r="J1422" s="686" t="s">
        <v>6017</v>
      </c>
      <c r="K1422" s="684">
        <v>10159.31</v>
      </c>
      <c r="L1422" s="543">
        <v>58.636200000000002</v>
      </c>
      <c r="M1422" s="516">
        <f t="shared" si="112"/>
        <v>173.26003390397057</v>
      </c>
      <c r="N1422" s="587">
        <v>60</v>
      </c>
      <c r="O1422" s="588">
        <f t="shared" si="113"/>
        <v>169.32183333333333</v>
      </c>
      <c r="P1422" s="682">
        <f t="shared" ca="1" si="115"/>
        <v>17</v>
      </c>
      <c r="Q1422" s="552">
        <f t="shared" ca="1" si="114"/>
        <v>7280.8388333333332</v>
      </c>
      <c r="R1422" s="563">
        <f t="shared" ca="1" si="116"/>
        <v>7280.8388333333332</v>
      </c>
      <c r="S1422" s="513" t="s">
        <v>4964</v>
      </c>
    </row>
    <row r="1423" spans="2:19" ht="29.25" x14ac:dyDescent="0.25">
      <c r="B1423" s="862">
        <v>45351</v>
      </c>
      <c r="C1423" s="683">
        <v>45462</v>
      </c>
      <c r="D1423" s="683"/>
      <c r="E1423" s="520" t="s">
        <v>5340</v>
      </c>
      <c r="F1423" s="681" t="s">
        <v>5443</v>
      </c>
      <c r="G1423" s="759" t="s">
        <v>5502</v>
      </c>
      <c r="H1423" s="541" t="s">
        <v>5580</v>
      </c>
      <c r="I1423" t="s">
        <v>6016</v>
      </c>
      <c r="J1423" s="686" t="s">
        <v>6017</v>
      </c>
      <c r="K1423" s="684">
        <v>10159.31</v>
      </c>
      <c r="L1423" s="543">
        <v>58.636200000000002</v>
      </c>
      <c r="M1423" s="516">
        <f t="shared" si="112"/>
        <v>173.26003390397057</v>
      </c>
      <c r="N1423" s="587">
        <v>60</v>
      </c>
      <c r="O1423" s="588">
        <f t="shared" si="113"/>
        <v>169.32183333333333</v>
      </c>
      <c r="P1423" s="682">
        <f t="shared" ca="1" si="115"/>
        <v>17</v>
      </c>
      <c r="Q1423" s="552">
        <f t="shared" ca="1" si="114"/>
        <v>7280.8388333333332</v>
      </c>
      <c r="R1423" s="563">
        <f t="shared" ca="1" si="116"/>
        <v>7280.8388333333332</v>
      </c>
      <c r="S1423" s="513" t="s">
        <v>4964</v>
      </c>
    </row>
    <row r="1424" spans="2:19" ht="29.25" x14ac:dyDescent="0.25">
      <c r="B1424" s="862">
        <v>45351</v>
      </c>
      <c r="C1424" s="683">
        <v>45462</v>
      </c>
      <c r="D1424" s="683"/>
      <c r="E1424" s="520" t="s">
        <v>5340</v>
      </c>
      <c r="F1424" s="681" t="s">
        <v>5442</v>
      </c>
      <c r="G1424" s="759" t="s">
        <v>5501</v>
      </c>
      <c r="H1424" s="541" t="s">
        <v>5579</v>
      </c>
      <c r="I1424" t="s">
        <v>6016</v>
      </c>
      <c r="J1424" s="686" t="s">
        <v>6017</v>
      </c>
      <c r="K1424" s="684">
        <v>10159.31</v>
      </c>
      <c r="L1424" s="543">
        <v>58.636200000000002</v>
      </c>
      <c r="M1424" s="516">
        <f t="shared" ref="M1424:M1487" si="117">+K1424/L1424</f>
        <v>173.26003390397057</v>
      </c>
      <c r="N1424" s="587">
        <v>60</v>
      </c>
      <c r="O1424" s="588">
        <f t="shared" si="113"/>
        <v>169.32183333333333</v>
      </c>
      <c r="P1424" s="682">
        <f t="shared" ca="1" si="115"/>
        <v>17</v>
      </c>
      <c r="Q1424" s="552">
        <f t="shared" ca="1" si="114"/>
        <v>7280.8388333333332</v>
      </c>
      <c r="R1424" s="563">
        <f t="shared" ca="1" si="116"/>
        <v>7280.8388333333332</v>
      </c>
      <c r="S1424" s="513" t="s">
        <v>4964</v>
      </c>
    </row>
    <row r="1425" spans="2:19" ht="29.25" x14ac:dyDescent="0.25">
      <c r="B1425" s="862">
        <v>45351</v>
      </c>
      <c r="C1425" s="683">
        <v>45462</v>
      </c>
      <c r="D1425" s="683"/>
      <c r="E1425" s="520" t="s">
        <v>5340</v>
      </c>
      <c r="F1425" s="681" t="s">
        <v>5441</v>
      </c>
      <c r="G1425" s="759" t="s">
        <v>5500</v>
      </c>
      <c r="H1425" s="541" t="s">
        <v>5578</v>
      </c>
      <c r="I1425" t="s">
        <v>6016</v>
      </c>
      <c r="J1425" s="686" t="s">
        <v>6017</v>
      </c>
      <c r="K1425" s="684">
        <v>10159.31</v>
      </c>
      <c r="L1425" s="543">
        <v>58.636200000000002</v>
      </c>
      <c r="M1425" s="516">
        <f t="shared" si="117"/>
        <v>173.26003390397057</v>
      </c>
      <c r="N1425" s="587">
        <v>60</v>
      </c>
      <c r="O1425" s="588">
        <f t="shared" si="113"/>
        <v>169.32183333333333</v>
      </c>
      <c r="P1425" s="682">
        <f t="shared" ca="1" si="115"/>
        <v>17</v>
      </c>
      <c r="Q1425" s="552">
        <f t="shared" ca="1" si="114"/>
        <v>7280.8388333333332</v>
      </c>
      <c r="R1425" s="563">
        <f t="shared" ca="1" si="116"/>
        <v>7280.8388333333332</v>
      </c>
      <c r="S1425" s="513" t="s">
        <v>4964</v>
      </c>
    </row>
    <row r="1426" spans="2:19" ht="29.25" x14ac:dyDescent="0.25">
      <c r="B1426" s="862">
        <v>45351</v>
      </c>
      <c r="C1426" s="683">
        <v>45462</v>
      </c>
      <c r="D1426" s="683"/>
      <c r="E1426" s="520" t="s">
        <v>5340</v>
      </c>
      <c r="F1426" s="681" t="s">
        <v>5440</v>
      </c>
      <c r="G1426" s="759" t="s">
        <v>5499</v>
      </c>
      <c r="H1426" s="541" t="s">
        <v>5577</v>
      </c>
      <c r="I1426" t="s">
        <v>6016</v>
      </c>
      <c r="J1426" s="686" t="s">
        <v>6017</v>
      </c>
      <c r="K1426" s="684">
        <v>10159.31</v>
      </c>
      <c r="L1426" s="543">
        <v>58.636200000000002</v>
      </c>
      <c r="M1426" s="516">
        <f t="shared" si="117"/>
        <v>173.26003390397057</v>
      </c>
      <c r="N1426" s="587">
        <v>60</v>
      </c>
      <c r="O1426" s="588">
        <f t="shared" si="113"/>
        <v>169.32183333333333</v>
      </c>
      <c r="P1426" s="682">
        <f t="shared" ca="1" si="115"/>
        <v>17</v>
      </c>
      <c r="Q1426" s="552">
        <f t="shared" ca="1" si="114"/>
        <v>7280.8388333333332</v>
      </c>
      <c r="R1426" s="563">
        <f t="shared" ca="1" si="116"/>
        <v>7280.8388333333332</v>
      </c>
      <c r="S1426" s="513" t="s">
        <v>4964</v>
      </c>
    </row>
    <row r="1427" spans="2:19" ht="29.25" x14ac:dyDescent="0.25">
      <c r="B1427" s="862">
        <v>45351</v>
      </c>
      <c r="C1427" s="683">
        <v>45462</v>
      </c>
      <c r="D1427" s="683"/>
      <c r="E1427" s="520" t="s">
        <v>5340</v>
      </c>
      <c r="F1427" s="681" t="s">
        <v>5439</v>
      </c>
      <c r="G1427" s="759" t="s">
        <v>5498</v>
      </c>
      <c r="H1427" s="541" t="s">
        <v>5576</v>
      </c>
      <c r="I1427" t="s">
        <v>6016</v>
      </c>
      <c r="J1427" s="686" t="s">
        <v>6017</v>
      </c>
      <c r="K1427" s="684">
        <v>10159.31</v>
      </c>
      <c r="L1427" s="543">
        <v>58.636200000000002</v>
      </c>
      <c r="M1427" s="516">
        <f t="shared" si="117"/>
        <v>173.26003390397057</v>
      </c>
      <c r="N1427" s="587">
        <v>60</v>
      </c>
      <c r="O1427" s="588">
        <f t="shared" si="113"/>
        <v>169.32183333333333</v>
      </c>
      <c r="P1427" s="682">
        <f t="shared" ca="1" si="115"/>
        <v>17</v>
      </c>
      <c r="Q1427" s="552">
        <f t="shared" ca="1" si="114"/>
        <v>7280.8388333333332</v>
      </c>
      <c r="R1427" s="563">
        <f t="shared" ca="1" si="116"/>
        <v>7280.8388333333332</v>
      </c>
      <c r="S1427" s="513" t="s">
        <v>4964</v>
      </c>
    </row>
    <row r="1428" spans="2:19" ht="29.25" x14ac:dyDescent="0.25">
      <c r="B1428" s="862">
        <v>45351</v>
      </c>
      <c r="C1428" s="683">
        <v>45462</v>
      </c>
      <c r="D1428" s="683"/>
      <c r="E1428" s="520" t="s">
        <v>5340</v>
      </c>
      <c r="F1428" s="681" t="s">
        <v>5438</v>
      </c>
      <c r="G1428" s="759" t="s">
        <v>5497</v>
      </c>
      <c r="H1428" s="541" t="s">
        <v>5575</v>
      </c>
      <c r="I1428" t="s">
        <v>6016</v>
      </c>
      <c r="J1428" s="686" t="s">
        <v>6017</v>
      </c>
      <c r="K1428" s="684">
        <v>10159.31</v>
      </c>
      <c r="L1428" s="543">
        <v>58.636200000000002</v>
      </c>
      <c r="M1428" s="516">
        <f t="shared" si="117"/>
        <v>173.26003390397057</v>
      </c>
      <c r="N1428" s="587">
        <v>60</v>
      </c>
      <c r="O1428" s="588">
        <f t="shared" si="113"/>
        <v>169.32183333333333</v>
      </c>
      <c r="P1428" s="682">
        <f t="shared" ca="1" si="115"/>
        <v>17</v>
      </c>
      <c r="Q1428" s="552">
        <f t="shared" ca="1" si="114"/>
        <v>7280.8388333333332</v>
      </c>
      <c r="R1428" s="563">
        <f t="shared" ca="1" si="116"/>
        <v>7280.8388333333332</v>
      </c>
      <c r="S1428" s="513" t="s">
        <v>4964</v>
      </c>
    </row>
    <row r="1429" spans="2:19" ht="29.25" x14ac:dyDescent="0.25">
      <c r="B1429" s="862">
        <v>45351</v>
      </c>
      <c r="C1429" s="683">
        <v>45462</v>
      </c>
      <c r="D1429" s="683"/>
      <c r="E1429" s="520" t="s">
        <v>5340</v>
      </c>
      <c r="F1429" s="681" t="s">
        <v>5437</v>
      </c>
      <c r="G1429" s="759" t="s">
        <v>5496</v>
      </c>
      <c r="H1429" s="541" t="s">
        <v>5574</v>
      </c>
      <c r="I1429" t="s">
        <v>6016</v>
      </c>
      <c r="J1429" s="686" t="s">
        <v>6017</v>
      </c>
      <c r="K1429" s="684">
        <v>10159.31</v>
      </c>
      <c r="L1429" s="543">
        <v>58.636200000000002</v>
      </c>
      <c r="M1429" s="516">
        <f t="shared" si="117"/>
        <v>173.26003390397057</v>
      </c>
      <c r="N1429" s="587">
        <v>60</v>
      </c>
      <c r="O1429" s="588">
        <f t="shared" si="113"/>
        <v>169.32183333333333</v>
      </c>
      <c r="P1429" s="682">
        <f t="shared" ca="1" si="115"/>
        <v>17</v>
      </c>
      <c r="Q1429" s="552">
        <f t="shared" ca="1" si="114"/>
        <v>7280.8388333333332</v>
      </c>
      <c r="R1429" s="563">
        <f t="shared" ca="1" si="116"/>
        <v>7280.8388333333332</v>
      </c>
      <c r="S1429" s="513" t="s">
        <v>4964</v>
      </c>
    </row>
    <row r="1430" spans="2:19" ht="29.25" x14ac:dyDescent="0.25">
      <c r="B1430" s="862">
        <v>45351</v>
      </c>
      <c r="C1430" s="683">
        <v>45462</v>
      </c>
      <c r="D1430" s="683"/>
      <c r="E1430" s="520" t="s">
        <v>5340</v>
      </c>
      <c r="F1430" s="681" t="s">
        <v>5436</v>
      </c>
      <c r="G1430" s="759" t="s">
        <v>5495</v>
      </c>
      <c r="H1430" s="541" t="s">
        <v>5573</v>
      </c>
      <c r="I1430" t="s">
        <v>6016</v>
      </c>
      <c r="J1430" s="686" t="s">
        <v>6017</v>
      </c>
      <c r="K1430" s="684">
        <v>10159.31</v>
      </c>
      <c r="L1430" s="543">
        <v>58.636200000000002</v>
      </c>
      <c r="M1430" s="516">
        <f t="shared" si="117"/>
        <v>173.26003390397057</v>
      </c>
      <c r="N1430" s="587">
        <v>60</v>
      </c>
      <c r="O1430" s="588">
        <f t="shared" si="113"/>
        <v>169.32183333333333</v>
      </c>
      <c r="P1430" s="682">
        <f t="shared" ca="1" si="115"/>
        <v>17</v>
      </c>
      <c r="Q1430" s="552">
        <f t="shared" ca="1" si="114"/>
        <v>7280.8388333333332</v>
      </c>
      <c r="R1430" s="563">
        <f t="shared" ca="1" si="116"/>
        <v>7280.8388333333332</v>
      </c>
      <c r="S1430" s="513" t="s">
        <v>4964</v>
      </c>
    </row>
    <row r="1431" spans="2:19" ht="29.25" x14ac:dyDescent="0.25">
      <c r="B1431" s="862">
        <v>45351</v>
      </c>
      <c r="C1431" s="683">
        <v>45462</v>
      </c>
      <c r="D1431" s="683"/>
      <c r="E1431" s="520" t="s">
        <v>5340</v>
      </c>
      <c r="F1431" s="681" t="s">
        <v>5435</v>
      </c>
      <c r="G1431" s="759" t="s">
        <v>5494</v>
      </c>
      <c r="H1431" s="541" t="s">
        <v>5572</v>
      </c>
      <c r="I1431" t="s">
        <v>6016</v>
      </c>
      <c r="J1431" s="686" t="s">
        <v>6017</v>
      </c>
      <c r="K1431" s="684">
        <v>10159.31</v>
      </c>
      <c r="L1431" s="543">
        <v>58.636200000000002</v>
      </c>
      <c r="M1431" s="516">
        <f t="shared" si="117"/>
        <v>173.26003390397057</v>
      </c>
      <c r="N1431" s="587">
        <v>60</v>
      </c>
      <c r="O1431" s="588">
        <f t="shared" si="113"/>
        <v>169.32183333333333</v>
      </c>
      <c r="P1431" s="682">
        <f t="shared" ca="1" si="115"/>
        <v>17</v>
      </c>
      <c r="Q1431" s="552">
        <f t="shared" ca="1" si="114"/>
        <v>7280.8388333333332</v>
      </c>
      <c r="R1431" s="563">
        <f t="shared" ca="1" si="116"/>
        <v>7280.8388333333332</v>
      </c>
      <c r="S1431" s="513" t="s">
        <v>4964</v>
      </c>
    </row>
    <row r="1432" spans="2:19" ht="29.25" x14ac:dyDescent="0.25">
      <c r="B1432" s="862">
        <v>45351</v>
      </c>
      <c r="C1432" s="683">
        <v>45462</v>
      </c>
      <c r="D1432" s="683"/>
      <c r="E1432" s="520" t="s">
        <v>5340</v>
      </c>
      <c r="F1432" s="681" t="s">
        <v>5434</v>
      </c>
      <c r="G1432" s="759" t="s">
        <v>5493</v>
      </c>
      <c r="H1432" s="541" t="s">
        <v>5571</v>
      </c>
      <c r="I1432" t="s">
        <v>6016</v>
      </c>
      <c r="J1432" s="686" t="s">
        <v>6017</v>
      </c>
      <c r="K1432" s="684">
        <v>10159.31</v>
      </c>
      <c r="L1432" s="543">
        <v>58.636200000000002</v>
      </c>
      <c r="M1432" s="516">
        <f t="shared" si="117"/>
        <v>173.26003390397057</v>
      </c>
      <c r="N1432" s="587">
        <v>60</v>
      </c>
      <c r="O1432" s="588">
        <f t="shared" si="113"/>
        <v>169.32183333333333</v>
      </c>
      <c r="P1432" s="682">
        <f t="shared" ca="1" si="115"/>
        <v>17</v>
      </c>
      <c r="Q1432" s="552">
        <f t="shared" ca="1" si="114"/>
        <v>7280.8388333333332</v>
      </c>
      <c r="R1432" s="563">
        <f t="shared" ca="1" si="116"/>
        <v>7280.8388333333332</v>
      </c>
      <c r="S1432" s="513" t="s">
        <v>4964</v>
      </c>
    </row>
    <row r="1433" spans="2:19" ht="29.25" x14ac:dyDescent="0.25">
      <c r="B1433" s="862">
        <v>45351</v>
      </c>
      <c r="C1433" s="683">
        <v>45462</v>
      </c>
      <c r="D1433" s="683"/>
      <c r="E1433" s="520" t="s">
        <v>5340</v>
      </c>
      <c r="F1433" s="681" t="s">
        <v>5286</v>
      </c>
      <c r="G1433" s="759" t="s">
        <v>5492</v>
      </c>
      <c r="H1433" s="541" t="s">
        <v>5570</v>
      </c>
      <c r="I1433" t="s">
        <v>6016</v>
      </c>
      <c r="J1433" s="686" t="s">
        <v>6017</v>
      </c>
      <c r="K1433" s="684">
        <v>10159.31</v>
      </c>
      <c r="L1433" s="543">
        <v>58.636200000000002</v>
      </c>
      <c r="M1433" s="516">
        <f t="shared" si="117"/>
        <v>173.26003390397057</v>
      </c>
      <c r="N1433" s="587">
        <v>60</v>
      </c>
      <c r="O1433" s="588">
        <f t="shared" si="113"/>
        <v>169.32183333333333</v>
      </c>
      <c r="P1433" s="682">
        <f t="shared" ca="1" si="115"/>
        <v>17</v>
      </c>
      <c r="Q1433" s="552">
        <f t="shared" ca="1" si="114"/>
        <v>7280.8388333333332</v>
      </c>
      <c r="R1433" s="563">
        <f t="shared" ca="1" si="116"/>
        <v>7280.8388333333332</v>
      </c>
      <c r="S1433" s="513" t="s">
        <v>4964</v>
      </c>
    </row>
    <row r="1434" spans="2:19" ht="29.25" x14ac:dyDescent="0.25">
      <c r="B1434" s="862">
        <v>45351</v>
      </c>
      <c r="C1434" s="683">
        <v>45462</v>
      </c>
      <c r="D1434" s="683"/>
      <c r="E1434" s="520" t="s">
        <v>5340</v>
      </c>
      <c r="F1434" s="681" t="s">
        <v>5284</v>
      </c>
      <c r="G1434" s="759" t="s">
        <v>5491</v>
      </c>
      <c r="H1434" s="541" t="s">
        <v>5569</v>
      </c>
      <c r="I1434" t="s">
        <v>6016</v>
      </c>
      <c r="J1434" s="686" t="s">
        <v>6017</v>
      </c>
      <c r="K1434" s="684">
        <v>10159.31</v>
      </c>
      <c r="L1434" s="543">
        <v>58.636200000000002</v>
      </c>
      <c r="M1434" s="516">
        <f t="shared" si="117"/>
        <v>173.26003390397057</v>
      </c>
      <c r="N1434" s="587">
        <v>60</v>
      </c>
      <c r="O1434" s="588">
        <f t="shared" si="113"/>
        <v>169.32183333333333</v>
      </c>
      <c r="P1434" s="682">
        <f t="shared" ca="1" si="115"/>
        <v>17</v>
      </c>
      <c r="Q1434" s="552">
        <f t="shared" ca="1" si="114"/>
        <v>7280.8388333333332</v>
      </c>
      <c r="R1434" s="563">
        <f t="shared" ca="1" si="116"/>
        <v>7280.8388333333332</v>
      </c>
      <c r="S1434" s="513" t="s">
        <v>4964</v>
      </c>
    </row>
    <row r="1435" spans="2:19" ht="29.25" x14ac:dyDescent="0.25">
      <c r="B1435" s="862">
        <v>45351</v>
      </c>
      <c r="C1435" s="683">
        <v>45462</v>
      </c>
      <c r="D1435" s="683"/>
      <c r="E1435" s="520" t="s">
        <v>5340</v>
      </c>
      <c r="F1435" s="681" t="s">
        <v>5280</v>
      </c>
      <c r="G1435" s="759" t="s">
        <v>5490</v>
      </c>
      <c r="H1435" s="541" t="s">
        <v>5568</v>
      </c>
      <c r="I1435" t="s">
        <v>6016</v>
      </c>
      <c r="J1435" s="686" t="s">
        <v>6017</v>
      </c>
      <c r="K1435" s="684">
        <v>10159.31</v>
      </c>
      <c r="L1435" s="543">
        <v>58.636200000000002</v>
      </c>
      <c r="M1435" s="516">
        <f t="shared" si="117"/>
        <v>173.26003390397057</v>
      </c>
      <c r="N1435" s="587">
        <v>60</v>
      </c>
      <c r="O1435" s="588">
        <f t="shared" si="113"/>
        <v>169.32183333333333</v>
      </c>
      <c r="P1435" s="682">
        <f t="shared" ca="1" si="115"/>
        <v>17</v>
      </c>
      <c r="Q1435" s="552">
        <f t="shared" ca="1" si="114"/>
        <v>7280.8388333333332</v>
      </c>
      <c r="R1435" s="563">
        <f t="shared" ca="1" si="116"/>
        <v>7280.8388333333332</v>
      </c>
      <c r="S1435" s="513" t="s">
        <v>4964</v>
      </c>
    </row>
    <row r="1436" spans="2:19" ht="29.25" x14ac:dyDescent="0.25">
      <c r="B1436" s="862">
        <v>45351</v>
      </c>
      <c r="C1436" s="683">
        <v>45462</v>
      </c>
      <c r="D1436" s="683"/>
      <c r="E1436" s="520" t="s">
        <v>5340</v>
      </c>
      <c r="F1436" s="681" t="s">
        <v>5433</v>
      </c>
      <c r="G1436" s="759" t="s">
        <v>5489</v>
      </c>
      <c r="H1436" s="541" t="s">
        <v>5567</v>
      </c>
      <c r="I1436" t="s">
        <v>6016</v>
      </c>
      <c r="J1436" s="686" t="s">
        <v>6017</v>
      </c>
      <c r="K1436" s="684">
        <v>10159.31</v>
      </c>
      <c r="L1436" s="543">
        <v>58.636200000000002</v>
      </c>
      <c r="M1436" s="516">
        <f t="shared" si="117"/>
        <v>173.26003390397057</v>
      </c>
      <c r="N1436" s="587">
        <v>60</v>
      </c>
      <c r="O1436" s="588">
        <f t="shared" si="113"/>
        <v>169.32183333333333</v>
      </c>
      <c r="P1436" s="682">
        <f t="shared" ca="1" si="115"/>
        <v>17</v>
      </c>
      <c r="Q1436" s="552">
        <f t="shared" ca="1" si="114"/>
        <v>7280.8388333333332</v>
      </c>
      <c r="R1436" s="563">
        <f t="shared" ca="1" si="116"/>
        <v>7280.8388333333332</v>
      </c>
      <c r="S1436" s="513" t="s">
        <v>4964</v>
      </c>
    </row>
    <row r="1437" spans="2:19" ht="29.25" x14ac:dyDescent="0.25">
      <c r="B1437" s="862">
        <v>45351</v>
      </c>
      <c r="C1437" s="683">
        <v>45462</v>
      </c>
      <c r="D1437" s="683"/>
      <c r="E1437" s="520" t="s">
        <v>5340</v>
      </c>
      <c r="F1437" s="681" t="s">
        <v>5278</v>
      </c>
      <c r="G1437" s="759" t="s">
        <v>5488</v>
      </c>
      <c r="H1437" s="541" t="s">
        <v>5566</v>
      </c>
      <c r="I1437" t="s">
        <v>6016</v>
      </c>
      <c r="J1437" s="686" t="s">
        <v>6017</v>
      </c>
      <c r="K1437" s="684">
        <v>10159.31</v>
      </c>
      <c r="L1437" s="543">
        <v>58.636200000000002</v>
      </c>
      <c r="M1437" s="516">
        <f t="shared" si="117"/>
        <v>173.26003390397057</v>
      </c>
      <c r="N1437" s="587">
        <v>60</v>
      </c>
      <c r="O1437" s="588">
        <f t="shared" si="113"/>
        <v>169.32183333333333</v>
      </c>
      <c r="P1437" s="682">
        <f t="shared" ca="1" si="115"/>
        <v>17</v>
      </c>
      <c r="Q1437" s="552">
        <f t="shared" ca="1" si="114"/>
        <v>7280.8388333333332</v>
      </c>
      <c r="R1437" s="563">
        <f t="shared" ca="1" si="116"/>
        <v>7280.8388333333332</v>
      </c>
      <c r="S1437" s="513" t="s">
        <v>4964</v>
      </c>
    </row>
    <row r="1438" spans="2:19" ht="29.25" x14ac:dyDescent="0.25">
      <c r="B1438" s="862">
        <v>45351</v>
      </c>
      <c r="C1438" s="683">
        <v>45462</v>
      </c>
      <c r="D1438" s="683"/>
      <c r="E1438" s="520" t="s">
        <v>5340</v>
      </c>
      <c r="F1438" s="681" t="s">
        <v>5409</v>
      </c>
      <c r="G1438" s="759" t="s">
        <v>5487</v>
      </c>
      <c r="H1438" s="541" t="s">
        <v>5565</v>
      </c>
      <c r="I1438" t="s">
        <v>6016</v>
      </c>
      <c r="J1438" s="686" t="s">
        <v>6017</v>
      </c>
      <c r="K1438" s="684">
        <v>10159.31</v>
      </c>
      <c r="L1438" s="543">
        <v>58.636200000000002</v>
      </c>
      <c r="M1438" s="516">
        <f t="shared" si="117"/>
        <v>173.26003390397057</v>
      </c>
      <c r="N1438" s="587">
        <v>60</v>
      </c>
      <c r="O1438" s="588">
        <f t="shared" si="113"/>
        <v>169.32183333333333</v>
      </c>
      <c r="P1438" s="682">
        <f t="shared" ca="1" si="115"/>
        <v>17</v>
      </c>
      <c r="Q1438" s="552">
        <f t="shared" ca="1" si="114"/>
        <v>7280.8388333333332</v>
      </c>
      <c r="R1438" s="563">
        <f t="shared" ca="1" si="116"/>
        <v>7280.8388333333332</v>
      </c>
      <c r="S1438" s="513" t="s">
        <v>4964</v>
      </c>
    </row>
    <row r="1439" spans="2:19" ht="29.25" x14ac:dyDescent="0.25">
      <c r="B1439" s="862">
        <v>45351</v>
      </c>
      <c r="C1439" s="683">
        <v>45462</v>
      </c>
      <c r="D1439" s="683"/>
      <c r="E1439" s="520" t="s">
        <v>5340</v>
      </c>
      <c r="F1439" s="681" t="s">
        <v>5432</v>
      </c>
      <c r="G1439" s="759" t="s">
        <v>5486</v>
      </c>
      <c r="H1439" s="541" t="s">
        <v>5564</v>
      </c>
      <c r="I1439" t="s">
        <v>6016</v>
      </c>
      <c r="J1439" s="686" t="s">
        <v>6017</v>
      </c>
      <c r="K1439" s="684">
        <v>10159.31</v>
      </c>
      <c r="L1439" s="543">
        <v>58.636200000000002</v>
      </c>
      <c r="M1439" s="516">
        <f t="shared" si="117"/>
        <v>173.26003390397057</v>
      </c>
      <c r="N1439" s="587">
        <v>60</v>
      </c>
      <c r="O1439" s="588">
        <f t="shared" si="113"/>
        <v>169.32183333333333</v>
      </c>
      <c r="P1439" s="682">
        <f t="shared" ca="1" si="115"/>
        <v>17</v>
      </c>
      <c r="Q1439" s="552">
        <f t="shared" ca="1" si="114"/>
        <v>7280.8388333333332</v>
      </c>
      <c r="R1439" s="563">
        <f t="shared" ca="1" si="116"/>
        <v>7280.8388333333332</v>
      </c>
      <c r="S1439" s="513" t="s">
        <v>4964</v>
      </c>
    </row>
    <row r="1440" spans="2:19" ht="29.25" x14ac:dyDescent="0.25">
      <c r="B1440" s="862">
        <v>45351</v>
      </c>
      <c r="C1440" s="683">
        <v>45462</v>
      </c>
      <c r="D1440" s="683"/>
      <c r="E1440" s="520" t="s">
        <v>5340</v>
      </c>
      <c r="F1440" s="681" t="s">
        <v>5408</v>
      </c>
      <c r="G1440" s="759" t="s">
        <v>5485</v>
      </c>
      <c r="H1440" s="541" t="s">
        <v>5563</v>
      </c>
      <c r="I1440" t="s">
        <v>6016</v>
      </c>
      <c r="J1440" s="686" t="s">
        <v>6017</v>
      </c>
      <c r="K1440" s="684">
        <v>10159.31</v>
      </c>
      <c r="L1440" s="543">
        <v>58.636200000000002</v>
      </c>
      <c r="M1440" s="516">
        <f t="shared" si="117"/>
        <v>173.26003390397057</v>
      </c>
      <c r="N1440" s="587">
        <v>60</v>
      </c>
      <c r="O1440" s="588">
        <f t="shared" si="113"/>
        <v>169.32183333333333</v>
      </c>
      <c r="P1440" s="682">
        <f t="shared" ca="1" si="115"/>
        <v>17</v>
      </c>
      <c r="Q1440" s="552">
        <f t="shared" ca="1" si="114"/>
        <v>7280.8388333333332</v>
      </c>
      <c r="R1440" s="563">
        <f t="shared" ca="1" si="116"/>
        <v>7280.8388333333332</v>
      </c>
      <c r="S1440" s="513" t="s">
        <v>4964</v>
      </c>
    </row>
    <row r="1441" spans="2:19" ht="29.25" x14ac:dyDescent="0.25">
      <c r="B1441" s="862">
        <v>45351</v>
      </c>
      <c r="C1441" s="683">
        <v>45462</v>
      </c>
      <c r="D1441" s="683"/>
      <c r="E1441" s="520" t="s">
        <v>5340</v>
      </c>
      <c r="F1441" s="681" t="s">
        <v>5407</v>
      </c>
      <c r="G1441" s="759" t="s">
        <v>5484</v>
      </c>
      <c r="H1441" s="541" t="s">
        <v>5562</v>
      </c>
      <c r="I1441" t="s">
        <v>6016</v>
      </c>
      <c r="J1441" s="686" t="s">
        <v>6017</v>
      </c>
      <c r="K1441" s="684">
        <v>10159.31</v>
      </c>
      <c r="L1441" s="543">
        <v>58.636200000000002</v>
      </c>
      <c r="M1441" s="516">
        <f t="shared" si="117"/>
        <v>173.26003390397057</v>
      </c>
      <c r="N1441" s="587">
        <v>60</v>
      </c>
      <c r="O1441" s="588">
        <f t="shared" si="113"/>
        <v>169.32183333333333</v>
      </c>
      <c r="P1441" s="682">
        <f t="shared" ca="1" si="115"/>
        <v>17</v>
      </c>
      <c r="Q1441" s="552">
        <f t="shared" ca="1" si="114"/>
        <v>7280.8388333333332</v>
      </c>
      <c r="R1441" s="563">
        <f t="shared" ca="1" si="116"/>
        <v>7280.8388333333332</v>
      </c>
      <c r="S1441" s="513" t="s">
        <v>4964</v>
      </c>
    </row>
    <row r="1442" spans="2:19" ht="29.25" x14ac:dyDescent="0.25">
      <c r="B1442" s="862">
        <v>45351</v>
      </c>
      <c r="C1442" s="683">
        <v>45462</v>
      </c>
      <c r="D1442" s="683"/>
      <c r="E1442" s="520" t="s">
        <v>5340</v>
      </c>
      <c r="F1442" s="681" t="s">
        <v>5275</v>
      </c>
      <c r="G1442" s="759" t="s">
        <v>5483</v>
      </c>
      <c r="H1442" s="541" t="s">
        <v>5561</v>
      </c>
      <c r="I1442" t="s">
        <v>6016</v>
      </c>
      <c r="J1442" s="686" t="s">
        <v>6017</v>
      </c>
      <c r="K1442" s="684">
        <v>10159.31</v>
      </c>
      <c r="L1442" s="543">
        <v>58.636200000000002</v>
      </c>
      <c r="M1442" s="516">
        <f t="shared" si="117"/>
        <v>173.26003390397057</v>
      </c>
      <c r="N1442" s="587">
        <v>60</v>
      </c>
      <c r="O1442" s="588">
        <f t="shared" si="113"/>
        <v>169.32183333333333</v>
      </c>
      <c r="P1442" s="682">
        <f t="shared" ca="1" si="115"/>
        <v>17</v>
      </c>
      <c r="Q1442" s="552">
        <f t="shared" ca="1" si="114"/>
        <v>7280.8388333333332</v>
      </c>
      <c r="R1442" s="563">
        <f t="shared" ca="1" si="116"/>
        <v>7280.8388333333332</v>
      </c>
      <c r="S1442" s="513" t="s">
        <v>4964</v>
      </c>
    </row>
    <row r="1443" spans="2:19" ht="29.25" x14ac:dyDescent="0.25">
      <c r="B1443" s="862">
        <v>45351</v>
      </c>
      <c r="C1443" s="683">
        <v>45462</v>
      </c>
      <c r="D1443" s="683"/>
      <c r="E1443" s="520" t="s">
        <v>5340</v>
      </c>
      <c r="F1443" s="681" t="s">
        <v>5272</v>
      </c>
      <c r="G1443" s="759" t="s">
        <v>5482</v>
      </c>
      <c r="H1443" s="541" t="s">
        <v>5560</v>
      </c>
      <c r="I1443" t="s">
        <v>6016</v>
      </c>
      <c r="J1443" s="686" t="s">
        <v>6017</v>
      </c>
      <c r="K1443" s="684">
        <v>10159.31</v>
      </c>
      <c r="L1443" s="543">
        <v>58.636200000000002</v>
      </c>
      <c r="M1443" s="516">
        <f t="shared" si="117"/>
        <v>173.26003390397057</v>
      </c>
      <c r="N1443" s="587">
        <v>60</v>
      </c>
      <c r="O1443" s="588">
        <f t="shared" si="113"/>
        <v>169.32183333333333</v>
      </c>
      <c r="P1443" s="682">
        <f t="shared" ca="1" si="115"/>
        <v>17</v>
      </c>
      <c r="Q1443" s="552">
        <f t="shared" ca="1" si="114"/>
        <v>7280.8388333333332</v>
      </c>
      <c r="R1443" s="563">
        <f t="shared" ca="1" si="116"/>
        <v>7280.8388333333332</v>
      </c>
      <c r="S1443" s="513" t="s">
        <v>4964</v>
      </c>
    </row>
    <row r="1444" spans="2:19" ht="29.25" x14ac:dyDescent="0.25">
      <c r="B1444" s="862">
        <v>45351</v>
      </c>
      <c r="C1444" s="683">
        <v>45462</v>
      </c>
      <c r="D1444" s="683"/>
      <c r="E1444" s="520" t="s">
        <v>5340</v>
      </c>
      <c r="F1444" s="681" t="s">
        <v>5268</v>
      </c>
      <c r="G1444" s="759" t="s">
        <v>5481</v>
      </c>
      <c r="H1444" s="541" t="s">
        <v>5559</v>
      </c>
      <c r="I1444" t="s">
        <v>6016</v>
      </c>
      <c r="J1444" s="686" t="s">
        <v>6017</v>
      </c>
      <c r="K1444" s="684">
        <v>10159.32</v>
      </c>
      <c r="L1444" s="543">
        <v>58.636200000000002</v>
      </c>
      <c r="M1444" s="516">
        <f t="shared" si="117"/>
        <v>173.26020444708217</v>
      </c>
      <c r="N1444" s="587">
        <v>60</v>
      </c>
      <c r="O1444" s="588">
        <f t="shared" si="113"/>
        <v>169.322</v>
      </c>
      <c r="P1444" s="682">
        <f t="shared" ca="1" si="115"/>
        <v>17</v>
      </c>
      <c r="Q1444" s="552">
        <f t="shared" ca="1" si="114"/>
        <v>7280.8459999999995</v>
      </c>
      <c r="R1444" s="563">
        <f t="shared" ca="1" si="116"/>
        <v>7280.8459999999995</v>
      </c>
      <c r="S1444" s="513" t="s">
        <v>4964</v>
      </c>
    </row>
    <row r="1445" spans="2:19" ht="29.25" x14ac:dyDescent="0.25">
      <c r="B1445" s="862">
        <v>45351</v>
      </c>
      <c r="C1445" s="683">
        <v>45462</v>
      </c>
      <c r="D1445" s="683"/>
      <c r="E1445" s="520" t="s">
        <v>5340</v>
      </c>
      <c r="F1445" s="681" t="s">
        <v>5267</v>
      </c>
      <c r="G1445" s="759" t="s">
        <v>5480</v>
      </c>
      <c r="H1445" s="541" t="s">
        <v>5558</v>
      </c>
      <c r="I1445" t="s">
        <v>6016</v>
      </c>
      <c r="J1445" s="686" t="s">
        <v>6017</v>
      </c>
      <c r="K1445" s="684">
        <v>10159.32</v>
      </c>
      <c r="L1445" s="543">
        <v>58.636200000000002</v>
      </c>
      <c r="M1445" s="516">
        <f t="shared" si="117"/>
        <v>173.26020444708217</v>
      </c>
      <c r="N1445" s="587">
        <v>60</v>
      </c>
      <c r="O1445" s="588">
        <f t="shared" si="113"/>
        <v>169.322</v>
      </c>
      <c r="P1445" s="682">
        <f t="shared" ca="1" si="115"/>
        <v>17</v>
      </c>
      <c r="Q1445" s="552">
        <f t="shared" ca="1" si="114"/>
        <v>7280.8459999999995</v>
      </c>
      <c r="R1445" s="563">
        <f t="shared" ca="1" si="116"/>
        <v>7280.8459999999995</v>
      </c>
      <c r="S1445" s="513" t="s">
        <v>4964</v>
      </c>
    </row>
    <row r="1446" spans="2:19" ht="29.25" x14ac:dyDescent="0.25">
      <c r="B1446" s="862">
        <v>45351</v>
      </c>
      <c r="C1446" s="683">
        <v>45462</v>
      </c>
      <c r="D1446" s="683"/>
      <c r="E1446" s="520" t="s">
        <v>5340</v>
      </c>
      <c r="F1446" s="681" t="s">
        <v>5277</v>
      </c>
      <c r="G1446" s="759" t="s">
        <v>5479</v>
      </c>
      <c r="H1446" s="541" t="s">
        <v>5557</v>
      </c>
      <c r="I1446" t="s">
        <v>6016</v>
      </c>
      <c r="J1446" s="686" t="s">
        <v>6017</v>
      </c>
      <c r="K1446" s="684">
        <v>10159.32</v>
      </c>
      <c r="L1446" s="543">
        <v>58.636200000000002</v>
      </c>
      <c r="M1446" s="516">
        <f t="shared" si="117"/>
        <v>173.26020444708217</v>
      </c>
      <c r="N1446" s="587">
        <v>60</v>
      </c>
      <c r="O1446" s="588">
        <f t="shared" si="113"/>
        <v>169.322</v>
      </c>
      <c r="P1446" s="682">
        <f t="shared" ca="1" si="115"/>
        <v>17</v>
      </c>
      <c r="Q1446" s="552">
        <f t="shared" ca="1" si="114"/>
        <v>7280.8459999999995</v>
      </c>
      <c r="R1446" s="563">
        <f t="shared" ca="1" si="116"/>
        <v>7280.8459999999995</v>
      </c>
      <c r="S1446" s="513" t="s">
        <v>4964</v>
      </c>
    </row>
    <row r="1447" spans="2:19" ht="29.25" x14ac:dyDescent="0.25">
      <c r="B1447" s="862">
        <v>45351</v>
      </c>
      <c r="C1447" s="683">
        <v>45462</v>
      </c>
      <c r="D1447" s="683"/>
      <c r="E1447" s="520" t="s">
        <v>5340</v>
      </c>
      <c r="F1447" s="681" t="s">
        <v>5266</v>
      </c>
      <c r="G1447" s="759" t="s">
        <v>5478</v>
      </c>
      <c r="H1447" s="541" t="s">
        <v>5556</v>
      </c>
      <c r="I1447" t="s">
        <v>6016</v>
      </c>
      <c r="J1447" s="686" t="s">
        <v>6017</v>
      </c>
      <c r="K1447" s="684">
        <v>10159.32</v>
      </c>
      <c r="L1447" s="543">
        <v>58.636200000000002</v>
      </c>
      <c r="M1447" s="516">
        <f t="shared" si="117"/>
        <v>173.26020444708217</v>
      </c>
      <c r="N1447" s="587">
        <v>60</v>
      </c>
      <c r="O1447" s="588">
        <f t="shared" si="113"/>
        <v>169.322</v>
      </c>
      <c r="P1447" s="682">
        <f t="shared" ca="1" si="115"/>
        <v>17</v>
      </c>
      <c r="Q1447" s="552">
        <f t="shared" ca="1" si="114"/>
        <v>7280.8459999999995</v>
      </c>
      <c r="R1447" s="563">
        <f t="shared" ca="1" si="116"/>
        <v>7280.8459999999995</v>
      </c>
      <c r="S1447" s="513" t="s">
        <v>4964</v>
      </c>
    </row>
    <row r="1448" spans="2:19" ht="29.25" x14ac:dyDescent="0.25">
      <c r="B1448" s="862">
        <v>45351</v>
      </c>
      <c r="C1448" s="683">
        <v>45462</v>
      </c>
      <c r="D1448" s="683"/>
      <c r="E1448" s="520" t="s">
        <v>5340</v>
      </c>
      <c r="F1448" s="681" t="s">
        <v>5431</v>
      </c>
      <c r="G1448" s="759" t="s">
        <v>5477</v>
      </c>
      <c r="H1448" s="541" t="s">
        <v>5555</v>
      </c>
      <c r="I1448" t="s">
        <v>6016</v>
      </c>
      <c r="J1448" s="686" t="s">
        <v>6017</v>
      </c>
      <c r="K1448" s="684">
        <v>10159.32</v>
      </c>
      <c r="L1448" s="543">
        <v>58.636200000000002</v>
      </c>
      <c r="M1448" s="516">
        <f t="shared" si="117"/>
        <v>173.26020444708217</v>
      </c>
      <c r="N1448" s="587">
        <v>60</v>
      </c>
      <c r="O1448" s="588">
        <f t="shared" si="113"/>
        <v>169.322</v>
      </c>
      <c r="P1448" s="682">
        <f t="shared" ca="1" si="115"/>
        <v>17</v>
      </c>
      <c r="Q1448" s="552">
        <f t="shared" ca="1" si="114"/>
        <v>7280.8459999999995</v>
      </c>
      <c r="R1448" s="563">
        <f t="shared" ca="1" si="116"/>
        <v>7280.8459999999995</v>
      </c>
      <c r="S1448" s="513" t="s">
        <v>4964</v>
      </c>
    </row>
    <row r="1449" spans="2:19" ht="29.25" x14ac:dyDescent="0.25">
      <c r="B1449" s="862">
        <v>45351</v>
      </c>
      <c r="C1449" s="683">
        <v>45462</v>
      </c>
      <c r="D1449" s="683"/>
      <c r="E1449" s="520" t="s">
        <v>5340</v>
      </c>
      <c r="F1449" s="681" t="s">
        <v>5405</v>
      </c>
      <c r="G1449" s="759" t="s">
        <v>5476</v>
      </c>
      <c r="H1449" s="541" t="s">
        <v>5554</v>
      </c>
      <c r="I1449" t="s">
        <v>6016</v>
      </c>
      <c r="J1449" s="686" t="s">
        <v>6017</v>
      </c>
      <c r="K1449" s="684">
        <v>10159.32</v>
      </c>
      <c r="L1449" s="543">
        <v>58.636200000000002</v>
      </c>
      <c r="M1449" s="516">
        <f t="shared" si="117"/>
        <v>173.26020444708217</v>
      </c>
      <c r="N1449" s="587">
        <v>60</v>
      </c>
      <c r="O1449" s="588">
        <f t="shared" si="113"/>
        <v>169.322</v>
      </c>
      <c r="P1449" s="682">
        <f t="shared" ca="1" si="115"/>
        <v>17</v>
      </c>
      <c r="Q1449" s="552">
        <f t="shared" ca="1" si="114"/>
        <v>7280.8459999999995</v>
      </c>
      <c r="R1449" s="563">
        <f t="shared" ca="1" si="116"/>
        <v>7280.8459999999995</v>
      </c>
      <c r="S1449" s="513" t="s">
        <v>4964</v>
      </c>
    </row>
    <row r="1450" spans="2:19" ht="29.25" x14ac:dyDescent="0.25">
      <c r="B1450" s="862">
        <v>45351</v>
      </c>
      <c r="C1450" s="683">
        <v>45462</v>
      </c>
      <c r="D1450" s="683"/>
      <c r="E1450" s="520" t="s">
        <v>5340</v>
      </c>
      <c r="F1450" s="681" t="s">
        <v>5430</v>
      </c>
      <c r="G1450" s="759" t="s">
        <v>5475</v>
      </c>
      <c r="H1450" s="541" t="s">
        <v>5553</v>
      </c>
      <c r="I1450" t="s">
        <v>6016</v>
      </c>
      <c r="J1450" s="686" t="s">
        <v>6017</v>
      </c>
      <c r="K1450" s="684">
        <v>10159.32</v>
      </c>
      <c r="L1450" s="543">
        <v>58.636200000000002</v>
      </c>
      <c r="M1450" s="516">
        <f t="shared" si="117"/>
        <v>173.26020444708217</v>
      </c>
      <c r="N1450" s="587">
        <v>60</v>
      </c>
      <c r="O1450" s="588">
        <f t="shared" si="113"/>
        <v>169.322</v>
      </c>
      <c r="P1450" s="682">
        <f t="shared" ca="1" si="115"/>
        <v>17</v>
      </c>
      <c r="Q1450" s="552">
        <f t="shared" ca="1" si="114"/>
        <v>7280.8459999999995</v>
      </c>
      <c r="R1450" s="563">
        <f t="shared" ca="1" si="116"/>
        <v>7280.8459999999995</v>
      </c>
      <c r="S1450" s="513" t="s">
        <v>4964</v>
      </c>
    </row>
    <row r="1451" spans="2:19" ht="29.25" x14ac:dyDescent="0.25">
      <c r="B1451" s="862">
        <v>45351</v>
      </c>
      <c r="C1451" s="683">
        <v>45462</v>
      </c>
      <c r="D1451" s="683"/>
      <c r="E1451" s="520" t="s">
        <v>5340</v>
      </c>
      <c r="F1451" s="681" t="s">
        <v>5406</v>
      </c>
      <c r="G1451" s="759" t="s">
        <v>5474</v>
      </c>
      <c r="H1451" s="541" t="s">
        <v>5552</v>
      </c>
      <c r="I1451" t="s">
        <v>6016</v>
      </c>
      <c r="J1451" s="686" t="s">
        <v>6017</v>
      </c>
      <c r="K1451" s="684">
        <v>10159.32</v>
      </c>
      <c r="L1451" s="543">
        <v>58.636200000000002</v>
      </c>
      <c r="M1451" s="516">
        <f t="shared" si="117"/>
        <v>173.26020444708217</v>
      </c>
      <c r="N1451" s="587">
        <v>60</v>
      </c>
      <c r="O1451" s="588">
        <f t="shared" si="113"/>
        <v>169.322</v>
      </c>
      <c r="P1451" s="682">
        <f t="shared" ca="1" si="115"/>
        <v>17</v>
      </c>
      <c r="Q1451" s="552">
        <f t="shared" ca="1" si="114"/>
        <v>7280.8459999999995</v>
      </c>
      <c r="R1451" s="563">
        <f t="shared" ca="1" si="116"/>
        <v>7280.8459999999995</v>
      </c>
      <c r="S1451" s="513" t="s">
        <v>4964</v>
      </c>
    </row>
    <row r="1452" spans="2:19" ht="29.25" x14ac:dyDescent="0.25">
      <c r="B1452" s="862">
        <v>45351</v>
      </c>
      <c r="C1452" s="683">
        <v>45462</v>
      </c>
      <c r="D1452" s="683"/>
      <c r="E1452" s="520" t="s">
        <v>5340</v>
      </c>
      <c r="F1452" s="681" t="s">
        <v>5429</v>
      </c>
      <c r="G1452" s="759" t="s">
        <v>5473</v>
      </c>
      <c r="H1452" s="541" t="s">
        <v>5551</v>
      </c>
      <c r="I1452" t="s">
        <v>6016</v>
      </c>
      <c r="J1452" s="686" t="s">
        <v>6017</v>
      </c>
      <c r="K1452" s="684">
        <v>10159.32</v>
      </c>
      <c r="L1452" s="543">
        <v>58.636200000000002</v>
      </c>
      <c r="M1452" s="516">
        <f t="shared" si="117"/>
        <v>173.26020444708217</v>
      </c>
      <c r="N1452" s="587">
        <v>60</v>
      </c>
      <c r="O1452" s="588">
        <f t="shared" si="113"/>
        <v>169.322</v>
      </c>
      <c r="P1452" s="682">
        <f t="shared" ca="1" si="115"/>
        <v>17</v>
      </c>
      <c r="Q1452" s="552">
        <f t="shared" ca="1" si="114"/>
        <v>7280.8459999999995</v>
      </c>
      <c r="R1452" s="563">
        <f t="shared" ca="1" si="116"/>
        <v>7280.8459999999995</v>
      </c>
      <c r="S1452" s="513" t="s">
        <v>4964</v>
      </c>
    </row>
    <row r="1453" spans="2:19" ht="29.25" x14ac:dyDescent="0.25">
      <c r="B1453" s="862">
        <v>45351</v>
      </c>
      <c r="C1453" s="683">
        <v>45462</v>
      </c>
      <c r="D1453" s="683"/>
      <c r="E1453" s="520" t="s">
        <v>5340</v>
      </c>
      <c r="F1453" s="681" t="s">
        <v>5583</v>
      </c>
      <c r="G1453" s="759" t="s">
        <v>5472</v>
      </c>
      <c r="H1453" s="541" t="s">
        <v>5550</v>
      </c>
      <c r="I1453" t="s">
        <v>6016</v>
      </c>
      <c r="J1453" s="686" t="s">
        <v>6017</v>
      </c>
      <c r="K1453" s="684">
        <v>10159.32</v>
      </c>
      <c r="L1453" s="543">
        <v>58.636200000000002</v>
      </c>
      <c r="M1453" s="516">
        <f t="shared" si="117"/>
        <v>173.26020444708217</v>
      </c>
      <c r="N1453" s="587">
        <v>60</v>
      </c>
      <c r="O1453" s="588">
        <f t="shared" si="113"/>
        <v>169.322</v>
      </c>
      <c r="P1453" s="682">
        <f t="shared" ca="1" si="115"/>
        <v>17</v>
      </c>
      <c r="Q1453" s="552">
        <f t="shared" ca="1" si="114"/>
        <v>7280.8459999999995</v>
      </c>
      <c r="R1453" s="563">
        <f t="shared" ca="1" si="116"/>
        <v>7280.8459999999995</v>
      </c>
      <c r="S1453" s="513" t="s">
        <v>4964</v>
      </c>
    </row>
    <row r="1454" spans="2:19" ht="29.25" x14ac:dyDescent="0.25">
      <c r="B1454" s="862">
        <v>45351</v>
      </c>
      <c r="C1454" s="683">
        <v>45462</v>
      </c>
      <c r="D1454" s="683"/>
      <c r="E1454" s="520" t="s">
        <v>5340</v>
      </c>
      <c r="F1454" s="681" t="s">
        <v>5285</v>
      </c>
      <c r="G1454" s="759" t="s">
        <v>5471</v>
      </c>
      <c r="H1454" s="541" t="s">
        <v>5549</v>
      </c>
      <c r="I1454" t="s">
        <v>6016</v>
      </c>
      <c r="J1454" s="686" t="s">
        <v>6017</v>
      </c>
      <c r="K1454" s="684">
        <v>10159.32</v>
      </c>
      <c r="L1454" s="543">
        <v>58.636200000000002</v>
      </c>
      <c r="M1454" s="516">
        <f t="shared" si="117"/>
        <v>173.26020444708217</v>
      </c>
      <c r="N1454" s="587">
        <v>60</v>
      </c>
      <c r="O1454" s="588">
        <f t="shared" si="113"/>
        <v>169.322</v>
      </c>
      <c r="P1454" s="682">
        <f t="shared" ca="1" si="115"/>
        <v>17</v>
      </c>
      <c r="Q1454" s="552">
        <f t="shared" ca="1" si="114"/>
        <v>7280.8459999999995</v>
      </c>
      <c r="R1454" s="563">
        <f t="shared" ca="1" si="116"/>
        <v>7280.8459999999995</v>
      </c>
      <c r="S1454" s="513" t="s">
        <v>4964</v>
      </c>
    </row>
    <row r="1455" spans="2:19" ht="29.25" x14ac:dyDescent="0.25">
      <c r="B1455" s="862">
        <v>45351</v>
      </c>
      <c r="C1455" s="683">
        <v>45462</v>
      </c>
      <c r="D1455" s="683"/>
      <c r="E1455" s="520" t="s">
        <v>5340</v>
      </c>
      <c r="F1455" s="681" t="s">
        <v>5428</v>
      </c>
      <c r="G1455" s="759" t="s">
        <v>5470</v>
      </c>
      <c r="H1455" s="541" t="s">
        <v>5548</v>
      </c>
      <c r="I1455" t="s">
        <v>6016</v>
      </c>
      <c r="J1455" s="686" t="s">
        <v>6017</v>
      </c>
      <c r="K1455" s="684">
        <v>10159.32</v>
      </c>
      <c r="L1455" s="543">
        <v>58.636200000000002</v>
      </c>
      <c r="M1455" s="516">
        <f t="shared" si="117"/>
        <v>173.26020444708217</v>
      </c>
      <c r="N1455" s="587">
        <v>60</v>
      </c>
      <c r="O1455" s="588">
        <f t="shared" si="113"/>
        <v>169.322</v>
      </c>
      <c r="P1455" s="682">
        <f t="shared" ca="1" si="115"/>
        <v>17</v>
      </c>
      <c r="Q1455" s="552">
        <f t="shared" ca="1" si="114"/>
        <v>7280.8459999999995</v>
      </c>
      <c r="R1455" s="563">
        <f t="shared" ca="1" si="116"/>
        <v>7280.8459999999995</v>
      </c>
      <c r="S1455" s="513" t="s">
        <v>4964</v>
      </c>
    </row>
    <row r="1456" spans="2:19" ht="29.25" x14ac:dyDescent="0.25">
      <c r="B1456" s="862">
        <v>45351</v>
      </c>
      <c r="C1456" s="683">
        <v>45462</v>
      </c>
      <c r="D1456" s="683"/>
      <c r="E1456" s="520" t="s">
        <v>5340</v>
      </c>
      <c r="F1456" s="681" t="s">
        <v>5427</v>
      </c>
      <c r="G1456" s="759" t="s">
        <v>5469</v>
      </c>
      <c r="H1456" s="541" t="s">
        <v>5547</v>
      </c>
      <c r="I1456" t="s">
        <v>6016</v>
      </c>
      <c r="J1456" s="686" t="s">
        <v>6017</v>
      </c>
      <c r="K1456" s="684">
        <v>10159.32</v>
      </c>
      <c r="L1456" s="543">
        <v>58.636200000000002</v>
      </c>
      <c r="M1456" s="516">
        <f t="shared" si="117"/>
        <v>173.26020444708217</v>
      </c>
      <c r="N1456" s="587">
        <v>60</v>
      </c>
      <c r="O1456" s="588">
        <f t="shared" si="113"/>
        <v>169.322</v>
      </c>
      <c r="P1456" s="682">
        <f t="shared" ca="1" si="115"/>
        <v>17</v>
      </c>
      <c r="Q1456" s="552">
        <f t="shared" ca="1" si="114"/>
        <v>7280.8459999999995</v>
      </c>
      <c r="R1456" s="563">
        <f t="shared" ca="1" si="116"/>
        <v>7280.8459999999995</v>
      </c>
      <c r="S1456" s="513" t="s">
        <v>4964</v>
      </c>
    </row>
    <row r="1457" spans="2:19" ht="29.25" x14ac:dyDescent="0.25">
      <c r="B1457" s="862">
        <v>45351</v>
      </c>
      <c r="C1457" s="683">
        <v>45462</v>
      </c>
      <c r="D1457" s="683"/>
      <c r="E1457" s="520" t="s">
        <v>5340</v>
      </c>
      <c r="F1457" s="681" t="s">
        <v>5426</v>
      </c>
      <c r="G1457" s="759" t="s">
        <v>5468</v>
      </c>
      <c r="H1457" s="541" t="s">
        <v>5546</v>
      </c>
      <c r="I1457" t="s">
        <v>6016</v>
      </c>
      <c r="J1457" s="686" t="s">
        <v>6017</v>
      </c>
      <c r="K1457" s="684">
        <v>10159.32</v>
      </c>
      <c r="L1457" s="543">
        <v>58.636200000000002</v>
      </c>
      <c r="M1457" s="516">
        <f t="shared" si="117"/>
        <v>173.26020444708217</v>
      </c>
      <c r="N1457" s="587">
        <v>60</v>
      </c>
      <c r="O1457" s="588">
        <f t="shared" si="113"/>
        <v>169.322</v>
      </c>
      <c r="P1457" s="682">
        <f t="shared" ca="1" si="115"/>
        <v>17</v>
      </c>
      <c r="Q1457" s="552">
        <f t="shared" ca="1" si="114"/>
        <v>7280.8459999999995</v>
      </c>
      <c r="R1457" s="563">
        <f t="shared" ca="1" si="116"/>
        <v>7280.8459999999995</v>
      </c>
      <c r="S1457" s="513" t="s">
        <v>4964</v>
      </c>
    </row>
    <row r="1458" spans="2:19" ht="29.25" x14ac:dyDescent="0.25">
      <c r="B1458" s="862">
        <v>45351</v>
      </c>
      <c r="C1458" s="683">
        <v>45462</v>
      </c>
      <c r="D1458" s="683"/>
      <c r="E1458" s="520" t="s">
        <v>5340</v>
      </c>
      <c r="F1458" s="681" t="s">
        <v>5425</v>
      </c>
      <c r="G1458" s="759" t="s">
        <v>5467</v>
      </c>
      <c r="H1458" s="541" t="s">
        <v>5545</v>
      </c>
      <c r="I1458" t="s">
        <v>6016</v>
      </c>
      <c r="J1458" s="686" t="s">
        <v>6017</v>
      </c>
      <c r="K1458" s="684">
        <v>10159.32</v>
      </c>
      <c r="L1458" s="543">
        <v>58.636200000000002</v>
      </c>
      <c r="M1458" s="516">
        <f t="shared" si="117"/>
        <v>173.26020444708217</v>
      </c>
      <c r="N1458" s="587">
        <v>60</v>
      </c>
      <c r="O1458" s="588">
        <f t="shared" si="113"/>
        <v>169.322</v>
      </c>
      <c r="P1458" s="682">
        <f t="shared" ca="1" si="115"/>
        <v>17</v>
      </c>
      <c r="Q1458" s="552">
        <f t="shared" ca="1" si="114"/>
        <v>7280.8459999999995</v>
      </c>
      <c r="R1458" s="563">
        <f t="shared" ca="1" si="116"/>
        <v>7280.8459999999995</v>
      </c>
      <c r="S1458" s="513" t="s">
        <v>4964</v>
      </c>
    </row>
    <row r="1459" spans="2:19" ht="29.25" x14ac:dyDescent="0.25">
      <c r="B1459" s="862">
        <v>45351</v>
      </c>
      <c r="C1459" s="683">
        <v>45462</v>
      </c>
      <c r="D1459" s="683"/>
      <c r="E1459" s="520" t="s">
        <v>5340</v>
      </c>
      <c r="F1459" s="681" t="s">
        <v>5282</v>
      </c>
      <c r="G1459" s="759" t="s">
        <v>5466</v>
      </c>
      <c r="H1459" s="541" t="s">
        <v>5544</v>
      </c>
      <c r="I1459" t="s">
        <v>6016</v>
      </c>
      <c r="J1459" s="686" t="s">
        <v>6017</v>
      </c>
      <c r="K1459" s="684">
        <v>10159.32</v>
      </c>
      <c r="L1459" s="543">
        <v>58.636200000000002</v>
      </c>
      <c r="M1459" s="516">
        <f t="shared" si="117"/>
        <v>173.26020444708217</v>
      </c>
      <c r="N1459" s="587">
        <v>60</v>
      </c>
      <c r="O1459" s="588">
        <f t="shared" si="113"/>
        <v>169.322</v>
      </c>
      <c r="P1459" s="682">
        <f t="shared" ca="1" si="115"/>
        <v>17</v>
      </c>
      <c r="Q1459" s="552">
        <f t="shared" ca="1" si="114"/>
        <v>7280.8459999999995</v>
      </c>
      <c r="R1459" s="563">
        <f t="shared" ca="1" si="116"/>
        <v>7280.8459999999995</v>
      </c>
      <c r="S1459" s="513" t="s">
        <v>4964</v>
      </c>
    </row>
    <row r="1460" spans="2:19" ht="29.25" x14ac:dyDescent="0.25">
      <c r="B1460" s="862">
        <v>45351</v>
      </c>
      <c r="C1460" s="683">
        <v>45462</v>
      </c>
      <c r="D1460" s="683"/>
      <c r="E1460" s="520" t="s">
        <v>5340</v>
      </c>
      <c r="F1460" s="681" t="s">
        <v>5403</v>
      </c>
      <c r="G1460" s="759" t="s">
        <v>5465</v>
      </c>
      <c r="H1460" s="541" t="s">
        <v>5543</v>
      </c>
      <c r="I1460" t="s">
        <v>6016</v>
      </c>
      <c r="J1460" s="686" t="s">
        <v>6017</v>
      </c>
      <c r="K1460" s="684">
        <v>10159.32</v>
      </c>
      <c r="L1460" s="543">
        <v>58.636200000000002</v>
      </c>
      <c r="M1460" s="516">
        <f t="shared" si="117"/>
        <v>173.26020444708217</v>
      </c>
      <c r="N1460" s="587">
        <v>60</v>
      </c>
      <c r="O1460" s="588">
        <f t="shared" si="113"/>
        <v>169.322</v>
      </c>
      <c r="P1460" s="682">
        <f t="shared" ca="1" si="115"/>
        <v>17</v>
      </c>
      <c r="Q1460" s="552">
        <f t="shared" ca="1" si="114"/>
        <v>7280.8459999999995</v>
      </c>
      <c r="R1460" s="563">
        <f t="shared" ca="1" si="116"/>
        <v>7280.8459999999995</v>
      </c>
      <c r="S1460" s="513" t="s">
        <v>4964</v>
      </c>
    </row>
    <row r="1461" spans="2:19" ht="29.25" x14ac:dyDescent="0.25">
      <c r="B1461" s="862">
        <v>45351</v>
      </c>
      <c r="C1461" s="683">
        <v>45462</v>
      </c>
      <c r="D1461" s="683"/>
      <c r="E1461" s="520" t="s">
        <v>5340</v>
      </c>
      <c r="F1461" s="681" t="s">
        <v>5424</v>
      </c>
      <c r="G1461" s="759" t="s">
        <v>5464</v>
      </c>
      <c r="H1461" s="541" t="s">
        <v>5542</v>
      </c>
      <c r="I1461" t="s">
        <v>6016</v>
      </c>
      <c r="J1461" s="686" t="s">
        <v>6017</v>
      </c>
      <c r="K1461" s="684">
        <v>10159.32</v>
      </c>
      <c r="L1461" s="543">
        <v>58.636200000000002</v>
      </c>
      <c r="M1461" s="516">
        <f t="shared" si="117"/>
        <v>173.26020444708217</v>
      </c>
      <c r="N1461" s="587">
        <v>60</v>
      </c>
      <c r="O1461" s="588">
        <f t="shared" ref="O1461:O1524" si="118">+K1461/N1461</f>
        <v>169.322</v>
      </c>
      <c r="P1461" s="682">
        <f t="shared" ca="1" si="115"/>
        <v>17</v>
      </c>
      <c r="Q1461" s="552">
        <f t="shared" ca="1" si="114"/>
        <v>7280.8459999999995</v>
      </c>
      <c r="R1461" s="563">
        <f t="shared" ca="1" si="116"/>
        <v>7280.8459999999995</v>
      </c>
      <c r="S1461" s="513" t="s">
        <v>4964</v>
      </c>
    </row>
    <row r="1462" spans="2:19" ht="29.25" x14ac:dyDescent="0.25">
      <c r="B1462" s="862">
        <v>45351</v>
      </c>
      <c r="C1462" s="683">
        <v>45462</v>
      </c>
      <c r="D1462" s="683"/>
      <c r="E1462" s="520" t="s">
        <v>5340</v>
      </c>
      <c r="F1462" s="681" t="s">
        <v>5281</v>
      </c>
      <c r="G1462" s="759" t="s">
        <v>5463</v>
      </c>
      <c r="H1462" s="541" t="s">
        <v>5541</v>
      </c>
      <c r="I1462" t="s">
        <v>6016</v>
      </c>
      <c r="J1462" s="686" t="s">
        <v>6017</v>
      </c>
      <c r="K1462" s="684">
        <v>10159.32</v>
      </c>
      <c r="L1462" s="543">
        <v>58.636200000000002</v>
      </c>
      <c r="M1462" s="516">
        <f t="shared" si="117"/>
        <v>173.26020444708217</v>
      </c>
      <c r="N1462" s="587">
        <v>60</v>
      </c>
      <c r="O1462" s="588">
        <f t="shared" si="118"/>
        <v>169.322</v>
      </c>
      <c r="P1462" s="682">
        <f t="shared" ca="1" si="115"/>
        <v>17</v>
      </c>
      <c r="Q1462" s="552">
        <f t="shared" ca="1" si="114"/>
        <v>7280.8459999999995</v>
      </c>
      <c r="R1462" s="563">
        <f t="shared" ca="1" si="116"/>
        <v>7280.8459999999995</v>
      </c>
      <c r="S1462" s="513" t="s">
        <v>4964</v>
      </c>
    </row>
    <row r="1463" spans="2:19" ht="29.25" x14ac:dyDescent="0.25">
      <c r="B1463" s="862">
        <v>45351</v>
      </c>
      <c r="C1463" s="683">
        <v>45462</v>
      </c>
      <c r="D1463" s="683"/>
      <c r="E1463" s="520" t="s">
        <v>5340</v>
      </c>
      <c r="F1463" s="681" t="s">
        <v>5283</v>
      </c>
      <c r="G1463" s="759" t="s">
        <v>5462</v>
      </c>
      <c r="H1463" s="541" t="s">
        <v>5540</v>
      </c>
      <c r="I1463" t="s">
        <v>6016</v>
      </c>
      <c r="J1463" s="686" t="s">
        <v>6017</v>
      </c>
      <c r="K1463" s="684">
        <v>10159.32</v>
      </c>
      <c r="L1463" s="543">
        <v>58.636200000000002</v>
      </c>
      <c r="M1463" s="516">
        <f t="shared" si="117"/>
        <v>173.26020444708217</v>
      </c>
      <c r="N1463" s="587">
        <v>60</v>
      </c>
      <c r="O1463" s="588">
        <f t="shared" si="118"/>
        <v>169.322</v>
      </c>
      <c r="P1463" s="682">
        <f t="shared" ca="1" si="115"/>
        <v>17</v>
      </c>
      <c r="Q1463" s="552">
        <f t="shared" ca="1" si="114"/>
        <v>7280.8459999999995</v>
      </c>
      <c r="R1463" s="563">
        <f t="shared" ca="1" si="116"/>
        <v>7280.8459999999995</v>
      </c>
      <c r="S1463" s="513" t="s">
        <v>4964</v>
      </c>
    </row>
    <row r="1464" spans="2:19" ht="29.25" x14ac:dyDescent="0.25">
      <c r="B1464" s="862">
        <v>45351</v>
      </c>
      <c r="C1464" s="683">
        <v>45462</v>
      </c>
      <c r="D1464" s="683"/>
      <c r="E1464" s="520" t="s">
        <v>5340</v>
      </c>
      <c r="F1464" s="681" t="s">
        <v>5404</v>
      </c>
      <c r="G1464" s="759" t="s">
        <v>5461</v>
      </c>
      <c r="H1464" s="541" t="s">
        <v>5539</v>
      </c>
      <c r="I1464" t="s">
        <v>6016</v>
      </c>
      <c r="J1464" s="686" t="s">
        <v>6017</v>
      </c>
      <c r="K1464" s="684">
        <v>10159.32</v>
      </c>
      <c r="L1464" s="543">
        <v>58.636200000000002</v>
      </c>
      <c r="M1464" s="516">
        <f t="shared" si="117"/>
        <v>173.26020444708217</v>
      </c>
      <c r="N1464" s="587">
        <v>60</v>
      </c>
      <c r="O1464" s="588">
        <f t="shared" si="118"/>
        <v>169.322</v>
      </c>
      <c r="P1464" s="682">
        <f t="shared" ca="1" si="115"/>
        <v>17</v>
      </c>
      <c r="Q1464" s="552">
        <f t="shared" ca="1" si="114"/>
        <v>7280.8459999999995</v>
      </c>
      <c r="R1464" s="563">
        <f t="shared" ca="1" si="116"/>
        <v>7280.8459999999995</v>
      </c>
      <c r="S1464" s="513" t="s">
        <v>4964</v>
      </c>
    </row>
    <row r="1465" spans="2:19" ht="29.25" x14ac:dyDescent="0.25">
      <c r="B1465" s="862">
        <v>45351</v>
      </c>
      <c r="C1465" s="683">
        <v>45462</v>
      </c>
      <c r="D1465" s="683"/>
      <c r="E1465" s="520" t="s">
        <v>5340</v>
      </c>
      <c r="F1465" s="681" t="s">
        <v>5308</v>
      </c>
      <c r="G1465" s="759" t="s">
        <v>5460</v>
      </c>
      <c r="H1465" s="541" t="s">
        <v>5538</v>
      </c>
      <c r="I1465" t="s">
        <v>6016</v>
      </c>
      <c r="J1465" s="686" t="s">
        <v>6017</v>
      </c>
      <c r="K1465" s="684">
        <v>10159.32</v>
      </c>
      <c r="L1465" s="543">
        <v>58.636200000000002</v>
      </c>
      <c r="M1465" s="516">
        <f t="shared" si="117"/>
        <v>173.26020444708217</v>
      </c>
      <c r="N1465" s="587">
        <v>60</v>
      </c>
      <c r="O1465" s="588">
        <f t="shared" si="118"/>
        <v>169.322</v>
      </c>
      <c r="P1465" s="682">
        <f t="shared" ca="1" si="115"/>
        <v>17</v>
      </c>
      <c r="Q1465" s="552">
        <f t="shared" ca="1" si="114"/>
        <v>7280.8459999999995</v>
      </c>
      <c r="R1465" s="563">
        <f t="shared" ca="1" si="116"/>
        <v>7280.8459999999995</v>
      </c>
      <c r="S1465" s="513" t="s">
        <v>4964</v>
      </c>
    </row>
    <row r="1466" spans="2:19" ht="29.25" x14ac:dyDescent="0.25">
      <c r="B1466" s="862">
        <v>45351</v>
      </c>
      <c r="C1466" s="683">
        <v>45462</v>
      </c>
      <c r="D1466" s="683"/>
      <c r="E1466" s="520" t="s">
        <v>5340</v>
      </c>
      <c r="F1466" s="681" t="s">
        <v>5410</v>
      </c>
      <c r="G1466" s="759" t="s">
        <v>5459</v>
      </c>
      <c r="H1466" s="541" t="s">
        <v>5537</v>
      </c>
      <c r="I1466" t="s">
        <v>6016</v>
      </c>
      <c r="J1466" s="686" t="s">
        <v>6017</v>
      </c>
      <c r="K1466" s="684">
        <v>10159.32</v>
      </c>
      <c r="L1466" s="543">
        <v>58.636200000000002</v>
      </c>
      <c r="M1466" s="516">
        <f t="shared" si="117"/>
        <v>173.26020444708217</v>
      </c>
      <c r="N1466" s="587">
        <v>60</v>
      </c>
      <c r="O1466" s="588">
        <f t="shared" si="118"/>
        <v>169.322</v>
      </c>
      <c r="P1466" s="682">
        <f t="shared" ca="1" si="115"/>
        <v>17</v>
      </c>
      <c r="Q1466" s="552">
        <f t="shared" ca="1" si="114"/>
        <v>7280.8459999999995</v>
      </c>
      <c r="R1466" s="563">
        <f t="shared" ca="1" si="116"/>
        <v>7280.8459999999995</v>
      </c>
      <c r="S1466" s="513" t="s">
        <v>4964</v>
      </c>
    </row>
    <row r="1467" spans="2:19" ht="29.25" x14ac:dyDescent="0.25">
      <c r="B1467" s="862">
        <v>45351</v>
      </c>
      <c r="C1467" s="683">
        <v>45462</v>
      </c>
      <c r="D1467" s="683"/>
      <c r="E1467" s="520" t="s">
        <v>5340</v>
      </c>
      <c r="F1467" s="681" t="s">
        <v>5423</v>
      </c>
      <c r="G1467" s="759" t="s">
        <v>5458</v>
      </c>
      <c r="H1467" s="541" t="s">
        <v>5536</v>
      </c>
      <c r="I1467" t="s">
        <v>6016</v>
      </c>
      <c r="J1467" s="686" t="s">
        <v>6017</v>
      </c>
      <c r="K1467" s="684">
        <v>10159.32</v>
      </c>
      <c r="L1467" s="543">
        <v>58.636200000000002</v>
      </c>
      <c r="M1467" s="516">
        <f t="shared" si="117"/>
        <v>173.26020444708217</v>
      </c>
      <c r="N1467" s="587">
        <v>60</v>
      </c>
      <c r="O1467" s="588">
        <f t="shared" si="118"/>
        <v>169.322</v>
      </c>
      <c r="P1467" s="682">
        <f t="shared" ca="1" si="115"/>
        <v>17</v>
      </c>
      <c r="Q1467" s="552">
        <f t="shared" ca="1" si="114"/>
        <v>7280.8459999999995</v>
      </c>
      <c r="R1467" s="563">
        <f t="shared" ca="1" si="116"/>
        <v>7280.8459999999995</v>
      </c>
      <c r="S1467" s="513" t="s">
        <v>4964</v>
      </c>
    </row>
    <row r="1468" spans="2:19" ht="29.25" x14ac:dyDescent="0.25">
      <c r="B1468" s="862">
        <v>45351</v>
      </c>
      <c r="C1468" s="683">
        <v>45462</v>
      </c>
      <c r="D1468" s="683"/>
      <c r="E1468" s="520" t="s">
        <v>5340</v>
      </c>
      <c r="F1468" s="681" t="s">
        <v>5422</v>
      </c>
      <c r="G1468" s="759" t="s">
        <v>5457</v>
      </c>
      <c r="H1468" s="541" t="s">
        <v>5535</v>
      </c>
      <c r="I1468" t="s">
        <v>6016</v>
      </c>
      <c r="J1468" s="686" t="s">
        <v>6017</v>
      </c>
      <c r="K1468" s="684">
        <v>10159.32</v>
      </c>
      <c r="L1468" s="543">
        <v>58.636200000000002</v>
      </c>
      <c r="M1468" s="516">
        <f t="shared" si="117"/>
        <v>173.26020444708217</v>
      </c>
      <c r="N1468" s="587">
        <v>60</v>
      </c>
      <c r="O1468" s="588">
        <f t="shared" si="118"/>
        <v>169.322</v>
      </c>
      <c r="P1468" s="682">
        <f t="shared" ca="1" si="115"/>
        <v>17</v>
      </c>
      <c r="Q1468" s="552">
        <f t="shared" ca="1" si="114"/>
        <v>7280.8459999999995</v>
      </c>
      <c r="R1468" s="563">
        <f t="shared" ca="1" si="116"/>
        <v>7280.8459999999995</v>
      </c>
      <c r="S1468" s="513" t="s">
        <v>4964</v>
      </c>
    </row>
    <row r="1469" spans="2:19" ht="29.25" x14ac:dyDescent="0.25">
      <c r="B1469" s="862">
        <v>45351</v>
      </c>
      <c r="C1469" s="683">
        <v>45462</v>
      </c>
      <c r="D1469" s="683"/>
      <c r="E1469" s="520" t="s">
        <v>5340</v>
      </c>
      <c r="F1469" s="681" t="s">
        <v>5421</v>
      </c>
      <c r="G1469" s="759" t="s">
        <v>5456</v>
      </c>
      <c r="H1469" s="541" t="s">
        <v>5534</v>
      </c>
      <c r="I1469" t="s">
        <v>6016</v>
      </c>
      <c r="J1469" s="686" t="s">
        <v>6017</v>
      </c>
      <c r="K1469" s="684">
        <v>10159.32</v>
      </c>
      <c r="L1469" s="543">
        <v>58.636200000000002</v>
      </c>
      <c r="M1469" s="516">
        <f t="shared" si="117"/>
        <v>173.26020444708217</v>
      </c>
      <c r="N1469" s="587">
        <v>60</v>
      </c>
      <c r="O1469" s="588">
        <f t="shared" si="118"/>
        <v>169.322</v>
      </c>
      <c r="P1469" s="682">
        <f t="shared" ca="1" si="115"/>
        <v>17</v>
      </c>
      <c r="Q1469" s="552">
        <f t="shared" ca="1" si="114"/>
        <v>7280.8459999999995</v>
      </c>
      <c r="R1469" s="563">
        <f t="shared" ca="1" si="116"/>
        <v>7280.8459999999995</v>
      </c>
      <c r="S1469" s="513" t="s">
        <v>4964</v>
      </c>
    </row>
    <row r="1470" spans="2:19" ht="29.25" x14ac:dyDescent="0.25">
      <c r="B1470" s="862">
        <v>45351</v>
      </c>
      <c r="C1470" s="683">
        <v>45462</v>
      </c>
      <c r="D1470" s="683"/>
      <c r="E1470" s="520" t="s">
        <v>5340</v>
      </c>
      <c r="F1470" s="681" t="s">
        <v>5420</v>
      </c>
      <c r="G1470" s="759" t="s">
        <v>5455</v>
      </c>
      <c r="H1470" s="541" t="s">
        <v>5533</v>
      </c>
      <c r="I1470" t="s">
        <v>6016</v>
      </c>
      <c r="J1470" s="686" t="s">
        <v>6017</v>
      </c>
      <c r="K1470" s="684">
        <v>10159.32</v>
      </c>
      <c r="L1470" s="543">
        <v>58.636200000000002</v>
      </c>
      <c r="M1470" s="516">
        <f t="shared" si="117"/>
        <v>173.26020444708217</v>
      </c>
      <c r="N1470" s="587">
        <v>60</v>
      </c>
      <c r="O1470" s="588">
        <f t="shared" si="118"/>
        <v>169.322</v>
      </c>
      <c r="P1470" s="682">
        <f t="shared" ca="1" si="115"/>
        <v>17</v>
      </c>
      <c r="Q1470" s="552">
        <f t="shared" ca="1" si="114"/>
        <v>7280.8459999999995</v>
      </c>
      <c r="R1470" s="563">
        <f t="shared" ca="1" si="116"/>
        <v>7280.8459999999995</v>
      </c>
      <c r="S1470" s="513" t="s">
        <v>4964</v>
      </c>
    </row>
    <row r="1471" spans="2:19" ht="29.25" x14ac:dyDescent="0.25">
      <c r="B1471" s="862">
        <v>45351</v>
      </c>
      <c r="C1471" s="683">
        <v>45462</v>
      </c>
      <c r="D1471" s="683"/>
      <c r="E1471" s="520" t="s">
        <v>5340</v>
      </c>
      <c r="F1471" s="681" t="s">
        <v>5419</v>
      </c>
      <c r="G1471" s="759" t="s">
        <v>5454</v>
      </c>
      <c r="H1471" s="541" t="s">
        <v>5532</v>
      </c>
      <c r="I1471" t="s">
        <v>6016</v>
      </c>
      <c r="J1471" s="686" t="s">
        <v>6017</v>
      </c>
      <c r="K1471" s="684">
        <v>10159.32</v>
      </c>
      <c r="L1471" s="543">
        <v>58.636200000000002</v>
      </c>
      <c r="M1471" s="516">
        <f t="shared" si="117"/>
        <v>173.26020444708217</v>
      </c>
      <c r="N1471" s="587">
        <v>60</v>
      </c>
      <c r="O1471" s="588">
        <f t="shared" si="118"/>
        <v>169.322</v>
      </c>
      <c r="P1471" s="682">
        <f t="shared" ca="1" si="115"/>
        <v>17</v>
      </c>
      <c r="Q1471" s="552">
        <f t="shared" ca="1" si="114"/>
        <v>7280.8459999999995</v>
      </c>
      <c r="R1471" s="563">
        <f t="shared" ca="1" si="116"/>
        <v>7280.8459999999995</v>
      </c>
      <c r="S1471" s="513" t="s">
        <v>4964</v>
      </c>
    </row>
    <row r="1472" spans="2:19" ht="29.25" x14ac:dyDescent="0.25">
      <c r="B1472" s="862">
        <v>45351</v>
      </c>
      <c r="C1472" s="683">
        <v>45462</v>
      </c>
      <c r="D1472" s="683"/>
      <c r="E1472" s="520" t="s">
        <v>5340</v>
      </c>
      <c r="F1472" s="681" t="s">
        <v>5411</v>
      </c>
      <c r="G1472" s="759" t="s">
        <v>5453</v>
      </c>
      <c r="H1472" s="541" t="s">
        <v>5531</v>
      </c>
      <c r="I1472" t="s">
        <v>6016</v>
      </c>
      <c r="J1472" s="686" t="s">
        <v>6017</v>
      </c>
      <c r="K1472" s="684">
        <v>10159.32</v>
      </c>
      <c r="L1472" s="543">
        <v>58.636200000000002</v>
      </c>
      <c r="M1472" s="516">
        <f t="shared" si="117"/>
        <v>173.26020444708217</v>
      </c>
      <c r="N1472" s="587">
        <v>60</v>
      </c>
      <c r="O1472" s="588">
        <f t="shared" si="118"/>
        <v>169.322</v>
      </c>
      <c r="P1472" s="682">
        <f t="shared" ca="1" si="115"/>
        <v>17</v>
      </c>
      <c r="Q1472" s="552">
        <f t="shared" ca="1" si="114"/>
        <v>7280.8459999999995</v>
      </c>
      <c r="R1472" s="563">
        <f t="shared" ca="1" si="116"/>
        <v>7280.8459999999995</v>
      </c>
      <c r="S1472" s="513" t="s">
        <v>4964</v>
      </c>
    </row>
    <row r="1473" spans="2:19" ht="29.25" x14ac:dyDescent="0.25">
      <c r="B1473" s="862">
        <v>45351</v>
      </c>
      <c r="C1473" s="683">
        <v>45462</v>
      </c>
      <c r="D1473" s="683"/>
      <c r="E1473" s="520" t="s">
        <v>5340</v>
      </c>
      <c r="F1473" s="681" t="s">
        <v>5418</v>
      </c>
      <c r="G1473" s="759" t="s">
        <v>5452</v>
      </c>
      <c r="H1473" s="541" t="s">
        <v>5530</v>
      </c>
      <c r="I1473" t="s">
        <v>6016</v>
      </c>
      <c r="J1473" s="686" t="s">
        <v>6017</v>
      </c>
      <c r="K1473" s="684">
        <v>10159.32</v>
      </c>
      <c r="L1473" s="543">
        <v>58.636200000000002</v>
      </c>
      <c r="M1473" s="516">
        <f t="shared" si="117"/>
        <v>173.26020444708217</v>
      </c>
      <c r="N1473" s="587">
        <v>60</v>
      </c>
      <c r="O1473" s="588">
        <f t="shared" si="118"/>
        <v>169.322</v>
      </c>
      <c r="P1473" s="682">
        <f t="shared" ca="1" si="115"/>
        <v>17</v>
      </c>
      <c r="Q1473" s="552">
        <f t="shared" ca="1" si="114"/>
        <v>7280.8459999999995</v>
      </c>
      <c r="R1473" s="563">
        <f t="shared" ca="1" si="116"/>
        <v>7280.8459999999995</v>
      </c>
      <c r="S1473" s="513" t="s">
        <v>4964</v>
      </c>
    </row>
    <row r="1474" spans="2:19" ht="29.25" x14ac:dyDescent="0.25">
      <c r="B1474" s="862">
        <v>45351</v>
      </c>
      <c r="C1474" s="683">
        <v>45462</v>
      </c>
      <c r="D1474" s="683"/>
      <c r="E1474" s="520" t="s">
        <v>5340</v>
      </c>
      <c r="F1474" s="681" t="s">
        <v>5417</v>
      </c>
      <c r="G1474" s="759" t="s">
        <v>5451</v>
      </c>
      <c r="H1474" s="541" t="s">
        <v>5529</v>
      </c>
      <c r="I1474" t="s">
        <v>6016</v>
      </c>
      <c r="J1474" s="686" t="s">
        <v>6017</v>
      </c>
      <c r="K1474" s="684">
        <v>10159.32</v>
      </c>
      <c r="L1474" s="543">
        <v>58.636200000000002</v>
      </c>
      <c r="M1474" s="516">
        <f t="shared" si="117"/>
        <v>173.26020444708217</v>
      </c>
      <c r="N1474" s="587">
        <v>60</v>
      </c>
      <c r="O1474" s="588">
        <f t="shared" si="118"/>
        <v>169.322</v>
      </c>
      <c r="P1474" s="682">
        <f t="shared" ca="1" si="115"/>
        <v>17</v>
      </c>
      <c r="Q1474" s="552">
        <f t="shared" ref="Q1474:Q1537" ca="1" si="119">IF(OR(K1474=0,N1474=0,P1474=0),0,K1474-(O1474*P1474))</f>
        <v>7280.8459999999995</v>
      </c>
      <c r="R1474" s="563">
        <f t="shared" ca="1" si="116"/>
        <v>7280.8459999999995</v>
      </c>
      <c r="S1474" s="513" t="s">
        <v>4964</v>
      </c>
    </row>
    <row r="1475" spans="2:19" ht="29.25" x14ac:dyDescent="0.25">
      <c r="B1475" s="862">
        <v>45351</v>
      </c>
      <c r="C1475" s="683">
        <v>45462</v>
      </c>
      <c r="D1475" s="683"/>
      <c r="E1475" s="520" t="s">
        <v>5340</v>
      </c>
      <c r="F1475" s="681" t="s">
        <v>5416</v>
      </c>
      <c r="G1475" s="759" t="s">
        <v>5450</v>
      </c>
      <c r="H1475" s="541" t="s">
        <v>5528</v>
      </c>
      <c r="I1475" t="s">
        <v>6016</v>
      </c>
      <c r="J1475" s="686" t="s">
        <v>6017</v>
      </c>
      <c r="K1475" s="684">
        <v>10159.32</v>
      </c>
      <c r="L1475" s="543">
        <v>58.636200000000002</v>
      </c>
      <c r="M1475" s="516">
        <f t="shared" si="117"/>
        <v>173.26020444708217</v>
      </c>
      <c r="N1475" s="587">
        <v>60</v>
      </c>
      <c r="O1475" s="588">
        <f t="shared" si="118"/>
        <v>169.322</v>
      </c>
      <c r="P1475" s="682">
        <f t="shared" ca="1" si="115"/>
        <v>17</v>
      </c>
      <c r="Q1475" s="552">
        <f t="shared" ca="1" si="119"/>
        <v>7280.8459999999995</v>
      </c>
      <c r="R1475" s="563">
        <f t="shared" ca="1" si="116"/>
        <v>7280.8459999999995</v>
      </c>
      <c r="S1475" s="513" t="s">
        <v>4964</v>
      </c>
    </row>
    <row r="1476" spans="2:19" ht="29.25" x14ac:dyDescent="0.25">
      <c r="B1476" s="862">
        <v>45351</v>
      </c>
      <c r="C1476" s="683">
        <v>45462</v>
      </c>
      <c r="D1476" s="683"/>
      <c r="E1476" s="520" t="s">
        <v>5340</v>
      </c>
      <c r="F1476" s="681" t="s">
        <v>5415</v>
      </c>
      <c r="G1476" s="759" t="s">
        <v>5449</v>
      </c>
      <c r="H1476" s="541" t="s">
        <v>5527</v>
      </c>
      <c r="I1476" t="s">
        <v>6016</v>
      </c>
      <c r="J1476" s="686" t="s">
        <v>6017</v>
      </c>
      <c r="K1476" s="684">
        <v>10159.32</v>
      </c>
      <c r="L1476" s="543">
        <v>58.636200000000002</v>
      </c>
      <c r="M1476" s="516">
        <f t="shared" si="117"/>
        <v>173.26020444708217</v>
      </c>
      <c r="N1476" s="587">
        <v>60</v>
      </c>
      <c r="O1476" s="588">
        <f t="shared" si="118"/>
        <v>169.322</v>
      </c>
      <c r="P1476" s="682">
        <f t="shared" ca="1" si="115"/>
        <v>17</v>
      </c>
      <c r="Q1476" s="552">
        <f t="shared" ca="1" si="119"/>
        <v>7280.8459999999995</v>
      </c>
      <c r="R1476" s="563">
        <f t="shared" ca="1" si="116"/>
        <v>7280.8459999999995</v>
      </c>
      <c r="S1476" s="513" t="s">
        <v>4964</v>
      </c>
    </row>
    <row r="1477" spans="2:19" ht="29.25" x14ac:dyDescent="0.25">
      <c r="B1477" s="862">
        <v>45351</v>
      </c>
      <c r="C1477" s="683">
        <v>45462</v>
      </c>
      <c r="D1477" s="683"/>
      <c r="E1477" s="520" t="s">
        <v>5340</v>
      </c>
      <c r="F1477" s="681" t="s">
        <v>5414</v>
      </c>
      <c r="G1477" s="759" t="s">
        <v>5448</v>
      </c>
      <c r="H1477" s="541" t="s">
        <v>5526</v>
      </c>
      <c r="I1477" t="s">
        <v>6016</v>
      </c>
      <c r="J1477" s="686" t="s">
        <v>6017</v>
      </c>
      <c r="K1477" s="684">
        <v>10159.32</v>
      </c>
      <c r="L1477" s="543">
        <v>58.636200000000002</v>
      </c>
      <c r="M1477" s="516">
        <f t="shared" si="117"/>
        <v>173.26020444708217</v>
      </c>
      <c r="N1477" s="587">
        <v>60</v>
      </c>
      <c r="O1477" s="588">
        <f t="shared" si="118"/>
        <v>169.322</v>
      </c>
      <c r="P1477" s="682">
        <f t="shared" ca="1" si="115"/>
        <v>17</v>
      </c>
      <c r="Q1477" s="552">
        <f t="shared" ca="1" si="119"/>
        <v>7280.8459999999995</v>
      </c>
      <c r="R1477" s="563">
        <f t="shared" ca="1" si="116"/>
        <v>7280.8459999999995</v>
      </c>
      <c r="S1477" s="513" t="s">
        <v>4964</v>
      </c>
    </row>
    <row r="1478" spans="2:19" ht="29.25" x14ac:dyDescent="0.25">
      <c r="B1478" s="862">
        <v>45351</v>
      </c>
      <c r="C1478" s="683">
        <v>45462</v>
      </c>
      <c r="D1478" s="683"/>
      <c r="E1478" s="520" t="s">
        <v>5340</v>
      </c>
      <c r="F1478" s="681" t="s">
        <v>5413</v>
      </c>
      <c r="G1478" s="759" t="s">
        <v>5447</v>
      </c>
      <c r="H1478" s="541" t="s">
        <v>5525</v>
      </c>
      <c r="I1478" t="s">
        <v>6016</v>
      </c>
      <c r="J1478" s="686" t="s">
        <v>6017</v>
      </c>
      <c r="K1478" s="684">
        <v>10159.32</v>
      </c>
      <c r="L1478" s="543">
        <v>58.636200000000002</v>
      </c>
      <c r="M1478" s="516">
        <f t="shared" si="117"/>
        <v>173.26020444708217</v>
      </c>
      <c r="N1478" s="587">
        <v>60</v>
      </c>
      <c r="O1478" s="588">
        <f t="shared" si="118"/>
        <v>169.322</v>
      </c>
      <c r="P1478" s="682">
        <f t="shared" ca="1" si="115"/>
        <v>17</v>
      </c>
      <c r="Q1478" s="552">
        <f t="shared" ca="1" si="119"/>
        <v>7280.8459999999995</v>
      </c>
      <c r="R1478" s="563">
        <f t="shared" ca="1" si="116"/>
        <v>7280.8459999999995</v>
      </c>
      <c r="S1478" s="513" t="s">
        <v>4964</v>
      </c>
    </row>
    <row r="1479" spans="2:19" ht="29.25" x14ac:dyDescent="0.25">
      <c r="B1479" s="862">
        <v>45351</v>
      </c>
      <c r="C1479" s="683">
        <v>45462</v>
      </c>
      <c r="D1479" s="683"/>
      <c r="E1479" s="520" t="s">
        <v>5340</v>
      </c>
      <c r="F1479" s="681" t="s">
        <v>5412</v>
      </c>
      <c r="G1479" s="759" t="s">
        <v>5446</v>
      </c>
      <c r="H1479" s="541" t="s">
        <v>5524</v>
      </c>
      <c r="I1479" t="s">
        <v>6016</v>
      </c>
      <c r="J1479" s="686" t="s">
        <v>6017</v>
      </c>
      <c r="K1479" s="684">
        <v>10159.32</v>
      </c>
      <c r="L1479" s="543">
        <v>58.636200000000002</v>
      </c>
      <c r="M1479" s="516">
        <f t="shared" si="117"/>
        <v>173.26020444708217</v>
      </c>
      <c r="N1479" s="587">
        <v>60</v>
      </c>
      <c r="O1479" s="588">
        <f t="shared" si="118"/>
        <v>169.322</v>
      </c>
      <c r="P1479" s="682">
        <f t="shared" ca="1" si="115"/>
        <v>17</v>
      </c>
      <c r="Q1479" s="552">
        <f t="shared" ca="1" si="119"/>
        <v>7280.8459999999995</v>
      </c>
      <c r="R1479" s="563">
        <f t="shared" ca="1" si="116"/>
        <v>7280.8459999999995</v>
      </c>
      <c r="S1479" s="513" t="s">
        <v>4964</v>
      </c>
    </row>
    <row r="1480" spans="2:19" ht="29.25" x14ac:dyDescent="0.25">
      <c r="B1480" s="862">
        <v>45351</v>
      </c>
      <c r="C1480" s="683">
        <v>45462</v>
      </c>
      <c r="D1480" s="683"/>
      <c r="E1480" s="520" t="s">
        <v>5340</v>
      </c>
      <c r="F1480" s="681" t="s">
        <v>5402</v>
      </c>
      <c r="G1480" s="759" t="s">
        <v>5401</v>
      </c>
      <c r="H1480" s="541" t="s">
        <v>5523</v>
      </c>
      <c r="I1480" t="s">
        <v>6016</v>
      </c>
      <c r="J1480" s="686" t="s">
        <v>6017</v>
      </c>
      <c r="K1480" s="684">
        <v>10159.32</v>
      </c>
      <c r="L1480" s="543">
        <v>58.636200000000002</v>
      </c>
      <c r="M1480" s="516">
        <f t="shared" si="117"/>
        <v>173.26020444708217</v>
      </c>
      <c r="N1480" s="587">
        <v>60</v>
      </c>
      <c r="O1480" s="588">
        <f t="shared" si="118"/>
        <v>169.322</v>
      </c>
      <c r="P1480" s="682">
        <f t="shared" ref="P1480:P1543" ca="1" si="120">IF(B1480&lt;&gt;0,(ROUND((NOW()-B1480)/30,0)),0)</f>
        <v>17</v>
      </c>
      <c r="Q1480" s="552">
        <f t="shared" ca="1" si="119"/>
        <v>7280.8459999999995</v>
      </c>
      <c r="R1480" s="563">
        <f t="shared" ref="R1480:R1543" ca="1" si="121">IF(Q1480&lt;1,1,Q1480)</f>
        <v>7280.8459999999995</v>
      </c>
      <c r="S1480" s="513" t="s">
        <v>4964</v>
      </c>
    </row>
    <row r="1481" spans="2:19" ht="29.25" x14ac:dyDescent="0.25">
      <c r="B1481" s="862">
        <v>45351</v>
      </c>
      <c r="C1481" s="681">
        <v>45460</v>
      </c>
      <c r="D1481" s="681"/>
      <c r="E1481" s="520" t="s">
        <v>4997</v>
      </c>
      <c r="F1481" s="513" t="s">
        <v>5056</v>
      </c>
      <c r="G1481" s="759" t="s">
        <v>4962</v>
      </c>
      <c r="H1481" s="541" t="s">
        <v>4998</v>
      </c>
      <c r="I1481" t="s">
        <v>6016</v>
      </c>
      <c r="J1481" s="686" t="s">
        <v>6017</v>
      </c>
      <c r="K1481" s="516">
        <v>58223.86</v>
      </c>
      <c r="L1481" s="543">
        <v>58.636200000000002</v>
      </c>
      <c r="M1481" s="516">
        <f t="shared" si="117"/>
        <v>992.96782533656676</v>
      </c>
      <c r="N1481" s="587">
        <v>60</v>
      </c>
      <c r="O1481" s="588">
        <f t="shared" si="118"/>
        <v>970.39766666666662</v>
      </c>
      <c r="P1481" s="682">
        <f t="shared" ca="1" si="120"/>
        <v>17</v>
      </c>
      <c r="Q1481" s="552">
        <f t="shared" ca="1" si="119"/>
        <v>41727.099666666669</v>
      </c>
      <c r="R1481" s="563">
        <f t="shared" ca="1" si="121"/>
        <v>41727.099666666669</v>
      </c>
      <c r="S1481" s="513" t="s">
        <v>4964</v>
      </c>
    </row>
    <row r="1482" spans="2:19" ht="29.25" x14ac:dyDescent="0.25">
      <c r="B1482" s="862">
        <v>45351</v>
      </c>
      <c r="C1482" s="681">
        <v>45460</v>
      </c>
      <c r="D1482" s="681"/>
      <c r="E1482" s="520" t="s">
        <v>4997</v>
      </c>
      <c r="F1482" s="513" t="s">
        <v>5057</v>
      </c>
      <c r="G1482" s="759" t="s">
        <v>4962</v>
      </c>
      <c r="H1482" s="541" t="s">
        <v>4999</v>
      </c>
      <c r="I1482" t="s">
        <v>6016</v>
      </c>
      <c r="J1482" s="686" t="s">
        <v>6017</v>
      </c>
      <c r="K1482" s="516">
        <v>58223.86</v>
      </c>
      <c r="L1482" s="543">
        <v>58.636200000000002</v>
      </c>
      <c r="M1482" s="516">
        <f t="shared" si="117"/>
        <v>992.96782533656676</v>
      </c>
      <c r="N1482" s="587">
        <v>60</v>
      </c>
      <c r="O1482" s="588">
        <f t="shared" si="118"/>
        <v>970.39766666666662</v>
      </c>
      <c r="P1482" s="682">
        <f t="shared" ca="1" si="120"/>
        <v>17</v>
      </c>
      <c r="Q1482" s="552">
        <f t="shared" ca="1" si="119"/>
        <v>41727.099666666669</v>
      </c>
      <c r="R1482" s="563">
        <f t="shared" ca="1" si="121"/>
        <v>41727.099666666669</v>
      </c>
      <c r="S1482" s="513" t="s">
        <v>4964</v>
      </c>
    </row>
    <row r="1483" spans="2:19" ht="29.25" x14ac:dyDescent="0.25">
      <c r="B1483" s="862">
        <v>45351</v>
      </c>
      <c r="C1483" s="681">
        <v>45460</v>
      </c>
      <c r="D1483" s="681"/>
      <c r="E1483" s="520" t="s">
        <v>4997</v>
      </c>
      <c r="F1483" s="513" t="s">
        <v>5058</v>
      </c>
      <c r="G1483" s="759" t="s">
        <v>4962</v>
      </c>
      <c r="H1483" s="541" t="s">
        <v>5000</v>
      </c>
      <c r="I1483" t="s">
        <v>6016</v>
      </c>
      <c r="J1483" s="686" t="s">
        <v>6017</v>
      </c>
      <c r="K1483" s="516">
        <v>58223.86</v>
      </c>
      <c r="L1483" s="543">
        <v>58.636200000000002</v>
      </c>
      <c r="M1483" s="516">
        <f t="shared" si="117"/>
        <v>992.96782533656676</v>
      </c>
      <c r="N1483" s="587">
        <v>60</v>
      </c>
      <c r="O1483" s="588">
        <f t="shared" si="118"/>
        <v>970.39766666666662</v>
      </c>
      <c r="P1483" s="682">
        <f t="shared" ca="1" si="120"/>
        <v>17</v>
      </c>
      <c r="Q1483" s="552">
        <f t="shared" ca="1" si="119"/>
        <v>41727.099666666669</v>
      </c>
      <c r="R1483" s="563">
        <f t="shared" ca="1" si="121"/>
        <v>41727.099666666669</v>
      </c>
      <c r="S1483" s="513" t="s">
        <v>4964</v>
      </c>
    </row>
    <row r="1484" spans="2:19" ht="29.25" x14ac:dyDescent="0.25">
      <c r="B1484" s="862">
        <v>45351</v>
      </c>
      <c r="C1484" s="681">
        <v>45460</v>
      </c>
      <c r="D1484" s="681"/>
      <c r="E1484" s="520" t="s">
        <v>4997</v>
      </c>
      <c r="F1484" s="513" t="s">
        <v>5059</v>
      </c>
      <c r="G1484" s="759" t="s">
        <v>4962</v>
      </c>
      <c r="H1484" s="541" t="s">
        <v>5054</v>
      </c>
      <c r="I1484" t="s">
        <v>6016</v>
      </c>
      <c r="J1484" s="686" t="s">
        <v>6017</v>
      </c>
      <c r="K1484" s="516">
        <v>58223.86</v>
      </c>
      <c r="L1484" s="543">
        <v>58.636200000000002</v>
      </c>
      <c r="M1484" s="516">
        <f t="shared" si="117"/>
        <v>992.96782533656676</v>
      </c>
      <c r="N1484" s="587">
        <v>60</v>
      </c>
      <c r="O1484" s="588">
        <f t="shared" si="118"/>
        <v>970.39766666666662</v>
      </c>
      <c r="P1484" s="682">
        <f t="shared" ca="1" si="120"/>
        <v>17</v>
      </c>
      <c r="Q1484" s="552">
        <f t="shared" ca="1" si="119"/>
        <v>41727.099666666669</v>
      </c>
      <c r="R1484" s="563">
        <f t="shared" ca="1" si="121"/>
        <v>41727.099666666669</v>
      </c>
      <c r="S1484" s="513" t="s">
        <v>4964</v>
      </c>
    </row>
    <row r="1485" spans="2:19" ht="29.25" x14ac:dyDescent="0.25">
      <c r="B1485" s="862">
        <v>45351</v>
      </c>
      <c r="C1485" s="681">
        <v>45460</v>
      </c>
      <c r="D1485" s="681"/>
      <c r="E1485" s="520" t="s">
        <v>4997</v>
      </c>
      <c r="F1485" s="513" t="s">
        <v>5060</v>
      </c>
      <c r="G1485" s="759" t="s">
        <v>4962</v>
      </c>
      <c r="H1485" s="541" t="s">
        <v>5001</v>
      </c>
      <c r="I1485" t="s">
        <v>6016</v>
      </c>
      <c r="J1485" s="686" t="s">
        <v>6017</v>
      </c>
      <c r="K1485" s="516">
        <v>58223.86</v>
      </c>
      <c r="L1485" s="543">
        <v>58.636200000000002</v>
      </c>
      <c r="M1485" s="516">
        <f t="shared" si="117"/>
        <v>992.96782533656676</v>
      </c>
      <c r="N1485" s="587">
        <v>60</v>
      </c>
      <c r="O1485" s="588">
        <f t="shared" si="118"/>
        <v>970.39766666666662</v>
      </c>
      <c r="P1485" s="682">
        <f t="shared" ca="1" si="120"/>
        <v>17</v>
      </c>
      <c r="Q1485" s="552">
        <f t="shared" ca="1" si="119"/>
        <v>41727.099666666669</v>
      </c>
      <c r="R1485" s="563">
        <f t="shared" ca="1" si="121"/>
        <v>41727.099666666669</v>
      </c>
      <c r="S1485" s="513" t="s">
        <v>4964</v>
      </c>
    </row>
    <row r="1486" spans="2:19" ht="29.25" x14ac:dyDescent="0.25">
      <c r="B1486" s="862">
        <v>45351</v>
      </c>
      <c r="C1486" s="681">
        <v>45460</v>
      </c>
      <c r="D1486" s="681"/>
      <c r="E1486" s="520" t="s">
        <v>4997</v>
      </c>
      <c r="F1486" s="513" t="s">
        <v>5061</v>
      </c>
      <c r="G1486" s="759" t="s">
        <v>4962</v>
      </c>
      <c r="H1486" s="541" t="s">
        <v>5002</v>
      </c>
      <c r="I1486" t="s">
        <v>6016</v>
      </c>
      <c r="J1486" s="686" t="s">
        <v>6017</v>
      </c>
      <c r="K1486" s="516">
        <v>58223.86</v>
      </c>
      <c r="L1486" s="543">
        <v>58.636200000000002</v>
      </c>
      <c r="M1486" s="516">
        <f t="shared" si="117"/>
        <v>992.96782533656676</v>
      </c>
      <c r="N1486" s="587">
        <v>60</v>
      </c>
      <c r="O1486" s="588">
        <f t="shared" si="118"/>
        <v>970.39766666666662</v>
      </c>
      <c r="P1486" s="682">
        <f t="shared" ca="1" si="120"/>
        <v>17</v>
      </c>
      <c r="Q1486" s="552">
        <f t="shared" ca="1" si="119"/>
        <v>41727.099666666669</v>
      </c>
      <c r="R1486" s="563">
        <f t="shared" ca="1" si="121"/>
        <v>41727.099666666669</v>
      </c>
      <c r="S1486" s="513" t="s">
        <v>4964</v>
      </c>
    </row>
    <row r="1487" spans="2:19" ht="29.25" x14ac:dyDescent="0.25">
      <c r="B1487" s="862">
        <v>45351</v>
      </c>
      <c r="C1487" s="681">
        <v>45460</v>
      </c>
      <c r="D1487" s="681"/>
      <c r="E1487" s="520" t="s">
        <v>4997</v>
      </c>
      <c r="F1487" s="513" t="s">
        <v>5062</v>
      </c>
      <c r="G1487" s="759" t="s">
        <v>4962</v>
      </c>
      <c r="H1487" s="541" t="s">
        <v>5003</v>
      </c>
      <c r="I1487" t="s">
        <v>6016</v>
      </c>
      <c r="J1487" s="686" t="s">
        <v>6017</v>
      </c>
      <c r="K1487" s="516">
        <v>58223.86</v>
      </c>
      <c r="L1487" s="543">
        <v>58.636200000000002</v>
      </c>
      <c r="M1487" s="516">
        <f t="shared" si="117"/>
        <v>992.96782533656676</v>
      </c>
      <c r="N1487" s="587">
        <v>60</v>
      </c>
      <c r="O1487" s="588">
        <f t="shared" si="118"/>
        <v>970.39766666666662</v>
      </c>
      <c r="P1487" s="682">
        <f t="shared" ca="1" si="120"/>
        <v>17</v>
      </c>
      <c r="Q1487" s="552">
        <f t="shared" ca="1" si="119"/>
        <v>41727.099666666669</v>
      </c>
      <c r="R1487" s="563">
        <f t="shared" ca="1" si="121"/>
        <v>41727.099666666669</v>
      </c>
      <c r="S1487" s="513" t="s">
        <v>4964</v>
      </c>
    </row>
    <row r="1488" spans="2:19" ht="29.25" x14ac:dyDescent="0.25">
      <c r="B1488" s="862">
        <v>45351</v>
      </c>
      <c r="C1488" s="681">
        <v>45460</v>
      </c>
      <c r="D1488" s="681"/>
      <c r="E1488" s="520" t="s">
        <v>4997</v>
      </c>
      <c r="F1488" s="513" t="s">
        <v>5063</v>
      </c>
      <c r="G1488" s="759" t="s">
        <v>4962</v>
      </c>
      <c r="H1488" s="541" t="s">
        <v>5004</v>
      </c>
      <c r="I1488" t="s">
        <v>6016</v>
      </c>
      <c r="J1488" s="686" t="s">
        <v>6017</v>
      </c>
      <c r="K1488" s="516">
        <v>58223.86</v>
      </c>
      <c r="L1488" s="543">
        <v>58.636200000000002</v>
      </c>
      <c r="M1488" s="516">
        <f t="shared" ref="M1488:M1551" si="122">+K1488/L1488</f>
        <v>992.96782533656676</v>
      </c>
      <c r="N1488" s="587">
        <v>60</v>
      </c>
      <c r="O1488" s="588">
        <f t="shared" si="118"/>
        <v>970.39766666666662</v>
      </c>
      <c r="P1488" s="682">
        <f t="shared" ca="1" si="120"/>
        <v>17</v>
      </c>
      <c r="Q1488" s="552">
        <f t="shared" ca="1" si="119"/>
        <v>41727.099666666669</v>
      </c>
      <c r="R1488" s="563">
        <f t="shared" ca="1" si="121"/>
        <v>41727.099666666669</v>
      </c>
      <c r="S1488" s="513" t="s">
        <v>4964</v>
      </c>
    </row>
    <row r="1489" spans="2:19" ht="29.25" x14ac:dyDescent="0.25">
      <c r="B1489" s="862">
        <v>45351</v>
      </c>
      <c r="C1489" s="681">
        <v>45460</v>
      </c>
      <c r="D1489" s="681"/>
      <c r="E1489" s="520" t="s">
        <v>4997</v>
      </c>
      <c r="F1489" s="513" t="s">
        <v>5064</v>
      </c>
      <c r="G1489" s="759" t="s">
        <v>4962</v>
      </c>
      <c r="H1489" s="541" t="s">
        <v>5005</v>
      </c>
      <c r="I1489" t="s">
        <v>6016</v>
      </c>
      <c r="J1489" s="686" t="s">
        <v>6017</v>
      </c>
      <c r="K1489" s="516">
        <v>58223.86</v>
      </c>
      <c r="L1489" s="543">
        <v>58.636200000000002</v>
      </c>
      <c r="M1489" s="516">
        <f t="shared" si="122"/>
        <v>992.96782533656676</v>
      </c>
      <c r="N1489" s="587">
        <v>60</v>
      </c>
      <c r="O1489" s="588">
        <f t="shared" si="118"/>
        <v>970.39766666666662</v>
      </c>
      <c r="P1489" s="682">
        <f t="shared" ca="1" si="120"/>
        <v>17</v>
      </c>
      <c r="Q1489" s="552">
        <f t="shared" ca="1" si="119"/>
        <v>41727.099666666669</v>
      </c>
      <c r="R1489" s="563">
        <f t="shared" ca="1" si="121"/>
        <v>41727.099666666669</v>
      </c>
      <c r="S1489" s="513" t="s">
        <v>4964</v>
      </c>
    </row>
    <row r="1490" spans="2:19" ht="29.25" x14ac:dyDescent="0.25">
      <c r="B1490" s="862">
        <v>45351</v>
      </c>
      <c r="C1490" s="681">
        <v>45460</v>
      </c>
      <c r="D1490" s="681"/>
      <c r="E1490" s="520" t="s">
        <v>4997</v>
      </c>
      <c r="F1490" s="513" t="s">
        <v>5065</v>
      </c>
      <c r="G1490" s="759" t="s">
        <v>4962</v>
      </c>
      <c r="H1490" s="541" t="s">
        <v>5006</v>
      </c>
      <c r="I1490" t="s">
        <v>6016</v>
      </c>
      <c r="J1490" s="686" t="s">
        <v>6017</v>
      </c>
      <c r="K1490" s="516">
        <v>58223.86</v>
      </c>
      <c r="L1490" s="543">
        <v>58.636200000000002</v>
      </c>
      <c r="M1490" s="516">
        <f t="shared" si="122"/>
        <v>992.96782533656676</v>
      </c>
      <c r="N1490" s="587">
        <v>60</v>
      </c>
      <c r="O1490" s="588">
        <f t="shared" si="118"/>
        <v>970.39766666666662</v>
      </c>
      <c r="P1490" s="682">
        <f t="shared" ca="1" si="120"/>
        <v>17</v>
      </c>
      <c r="Q1490" s="552">
        <f t="shared" ca="1" si="119"/>
        <v>41727.099666666669</v>
      </c>
      <c r="R1490" s="563">
        <f t="shared" ca="1" si="121"/>
        <v>41727.099666666669</v>
      </c>
      <c r="S1490" s="513" t="s">
        <v>4964</v>
      </c>
    </row>
    <row r="1491" spans="2:19" ht="29.25" x14ac:dyDescent="0.25">
      <c r="B1491" s="862">
        <v>45351</v>
      </c>
      <c r="C1491" s="681">
        <v>45460</v>
      </c>
      <c r="D1491" s="681"/>
      <c r="E1491" s="520" t="s">
        <v>4997</v>
      </c>
      <c r="F1491" s="513" t="s">
        <v>5066</v>
      </c>
      <c r="G1491" s="759" t="s">
        <v>4962</v>
      </c>
      <c r="H1491" s="541" t="s">
        <v>5007</v>
      </c>
      <c r="I1491" t="s">
        <v>6016</v>
      </c>
      <c r="J1491" s="686" t="s">
        <v>6017</v>
      </c>
      <c r="K1491" s="516">
        <v>58223.86</v>
      </c>
      <c r="L1491" s="543">
        <v>58.636200000000002</v>
      </c>
      <c r="M1491" s="516">
        <f t="shared" si="122"/>
        <v>992.96782533656676</v>
      </c>
      <c r="N1491" s="587">
        <v>60</v>
      </c>
      <c r="O1491" s="588">
        <f t="shared" si="118"/>
        <v>970.39766666666662</v>
      </c>
      <c r="P1491" s="682">
        <f t="shared" ca="1" si="120"/>
        <v>17</v>
      </c>
      <c r="Q1491" s="552">
        <f t="shared" ca="1" si="119"/>
        <v>41727.099666666669</v>
      </c>
      <c r="R1491" s="563">
        <f t="shared" ca="1" si="121"/>
        <v>41727.099666666669</v>
      </c>
      <c r="S1491" s="513" t="s">
        <v>4964</v>
      </c>
    </row>
    <row r="1492" spans="2:19" ht="29.25" x14ac:dyDescent="0.25">
      <c r="B1492" s="862">
        <v>45351</v>
      </c>
      <c r="C1492" s="681">
        <v>45460</v>
      </c>
      <c r="D1492" s="681"/>
      <c r="E1492" s="520" t="s">
        <v>4997</v>
      </c>
      <c r="F1492" s="513" t="s">
        <v>5067</v>
      </c>
      <c r="G1492" s="759" t="s">
        <v>4962</v>
      </c>
      <c r="H1492" s="541" t="s">
        <v>5008</v>
      </c>
      <c r="I1492" t="s">
        <v>6016</v>
      </c>
      <c r="J1492" s="686" t="s">
        <v>6017</v>
      </c>
      <c r="K1492" s="516">
        <v>58223.86</v>
      </c>
      <c r="L1492" s="543">
        <v>58.636200000000002</v>
      </c>
      <c r="M1492" s="516">
        <f t="shared" si="122"/>
        <v>992.96782533656676</v>
      </c>
      <c r="N1492" s="587">
        <v>60</v>
      </c>
      <c r="O1492" s="588">
        <f t="shared" si="118"/>
        <v>970.39766666666662</v>
      </c>
      <c r="P1492" s="682">
        <f t="shared" ca="1" si="120"/>
        <v>17</v>
      </c>
      <c r="Q1492" s="552">
        <f t="shared" ca="1" si="119"/>
        <v>41727.099666666669</v>
      </c>
      <c r="R1492" s="563">
        <f t="shared" ca="1" si="121"/>
        <v>41727.099666666669</v>
      </c>
      <c r="S1492" s="513" t="s">
        <v>4964</v>
      </c>
    </row>
    <row r="1493" spans="2:19" ht="29.25" x14ac:dyDescent="0.25">
      <c r="B1493" s="862">
        <v>45351</v>
      </c>
      <c r="C1493" s="681">
        <v>45460</v>
      </c>
      <c r="D1493" s="681"/>
      <c r="E1493" s="520" t="s">
        <v>4997</v>
      </c>
      <c r="F1493" s="513" t="s">
        <v>5068</v>
      </c>
      <c r="G1493" s="759" t="s">
        <v>4962</v>
      </c>
      <c r="H1493" s="541" t="s">
        <v>5009</v>
      </c>
      <c r="I1493" t="s">
        <v>6016</v>
      </c>
      <c r="J1493" s="686" t="s">
        <v>6017</v>
      </c>
      <c r="K1493" s="516">
        <v>58223.86</v>
      </c>
      <c r="L1493" s="543">
        <v>58.636200000000002</v>
      </c>
      <c r="M1493" s="516">
        <f t="shared" si="122"/>
        <v>992.96782533656676</v>
      </c>
      <c r="N1493" s="587">
        <v>60</v>
      </c>
      <c r="O1493" s="588">
        <f t="shared" si="118"/>
        <v>970.39766666666662</v>
      </c>
      <c r="P1493" s="682">
        <f t="shared" ca="1" si="120"/>
        <v>17</v>
      </c>
      <c r="Q1493" s="552">
        <f t="shared" ca="1" si="119"/>
        <v>41727.099666666669</v>
      </c>
      <c r="R1493" s="563">
        <f t="shared" ca="1" si="121"/>
        <v>41727.099666666669</v>
      </c>
      <c r="S1493" s="513" t="s">
        <v>4964</v>
      </c>
    </row>
    <row r="1494" spans="2:19" ht="29.25" x14ac:dyDescent="0.25">
      <c r="B1494" s="862">
        <v>45351</v>
      </c>
      <c r="C1494" s="681">
        <v>45460</v>
      </c>
      <c r="D1494" s="681"/>
      <c r="E1494" s="520" t="s">
        <v>4997</v>
      </c>
      <c r="F1494" s="513" t="s">
        <v>5069</v>
      </c>
      <c r="G1494" s="759" t="s">
        <v>4962</v>
      </c>
      <c r="H1494" s="541" t="s">
        <v>5010</v>
      </c>
      <c r="I1494" t="s">
        <v>6016</v>
      </c>
      <c r="J1494" s="686" t="s">
        <v>6017</v>
      </c>
      <c r="K1494" s="516">
        <v>58223.86</v>
      </c>
      <c r="L1494" s="543">
        <v>58.636200000000002</v>
      </c>
      <c r="M1494" s="516">
        <f t="shared" si="122"/>
        <v>992.96782533656676</v>
      </c>
      <c r="N1494" s="587">
        <v>60</v>
      </c>
      <c r="O1494" s="588">
        <f t="shared" si="118"/>
        <v>970.39766666666662</v>
      </c>
      <c r="P1494" s="682">
        <f t="shared" ca="1" si="120"/>
        <v>17</v>
      </c>
      <c r="Q1494" s="552">
        <f t="shared" ca="1" si="119"/>
        <v>41727.099666666669</v>
      </c>
      <c r="R1494" s="563">
        <f t="shared" ca="1" si="121"/>
        <v>41727.099666666669</v>
      </c>
      <c r="S1494" s="513" t="s">
        <v>4964</v>
      </c>
    </row>
    <row r="1495" spans="2:19" ht="29.25" x14ac:dyDescent="0.25">
      <c r="B1495" s="862">
        <v>45351</v>
      </c>
      <c r="C1495" s="681">
        <v>45460</v>
      </c>
      <c r="D1495" s="681"/>
      <c r="E1495" s="520" t="s">
        <v>4997</v>
      </c>
      <c r="F1495" s="513" t="s">
        <v>5070</v>
      </c>
      <c r="G1495" s="759" t="s">
        <v>4962</v>
      </c>
      <c r="H1495" s="541" t="s">
        <v>5011</v>
      </c>
      <c r="I1495" t="s">
        <v>6016</v>
      </c>
      <c r="J1495" s="686" t="s">
        <v>6017</v>
      </c>
      <c r="K1495" s="516">
        <v>58223.86</v>
      </c>
      <c r="L1495" s="543">
        <v>58.636200000000002</v>
      </c>
      <c r="M1495" s="516">
        <f t="shared" si="122"/>
        <v>992.96782533656676</v>
      </c>
      <c r="N1495" s="587">
        <v>60</v>
      </c>
      <c r="O1495" s="588">
        <f t="shared" si="118"/>
        <v>970.39766666666662</v>
      </c>
      <c r="P1495" s="682">
        <f t="shared" ca="1" si="120"/>
        <v>17</v>
      </c>
      <c r="Q1495" s="552">
        <f t="shared" ca="1" si="119"/>
        <v>41727.099666666669</v>
      </c>
      <c r="R1495" s="563">
        <f t="shared" ca="1" si="121"/>
        <v>41727.099666666669</v>
      </c>
      <c r="S1495" s="513" t="s">
        <v>4964</v>
      </c>
    </row>
    <row r="1496" spans="2:19" ht="29.25" x14ac:dyDescent="0.25">
      <c r="B1496" s="862">
        <v>45351</v>
      </c>
      <c r="C1496" s="681">
        <v>45460</v>
      </c>
      <c r="D1496" s="681"/>
      <c r="E1496" s="520" t="s">
        <v>4997</v>
      </c>
      <c r="F1496" s="513" t="s">
        <v>5071</v>
      </c>
      <c r="G1496" s="759" t="s">
        <v>4962</v>
      </c>
      <c r="H1496" s="541" t="s">
        <v>5012</v>
      </c>
      <c r="I1496" t="s">
        <v>6016</v>
      </c>
      <c r="J1496" s="686" t="s">
        <v>6017</v>
      </c>
      <c r="K1496" s="516">
        <v>58223.86</v>
      </c>
      <c r="L1496" s="543">
        <v>58.636200000000002</v>
      </c>
      <c r="M1496" s="516">
        <f t="shared" si="122"/>
        <v>992.96782533656676</v>
      </c>
      <c r="N1496" s="587">
        <v>60</v>
      </c>
      <c r="O1496" s="588">
        <f t="shared" si="118"/>
        <v>970.39766666666662</v>
      </c>
      <c r="P1496" s="682">
        <f t="shared" ca="1" si="120"/>
        <v>17</v>
      </c>
      <c r="Q1496" s="552">
        <f t="shared" ca="1" si="119"/>
        <v>41727.099666666669</v>
      </c>
      <c r="R1496" s="563">
        <f t="shared" ca="1" si="121"/>
        <v>41727.099666666669</v>
      </c>
      <c r="S1496" s="513" t="s">
        <v>4964</v>
      </c>
    </row>
    <row r="1497" spans="2:19" ht="29.25" x14ac:dyDescent="0.25">
      <c r="B1497" s="862">
        <v>45351</v>
      </c>
      <c r="C1497" s="681">
        <v>45460</v>
      </c>
      <c r="D1497" s="681"/>
      <c r="E1497" s="520" t="s">
        <v>4997</v>
      </c>
      <c r="F1497" s="513" t="s">
        <v>5072</v>
      </c>
      <c r="G1497" s="759" t="s">
        <v>4962</v>
      </c>
      <c r="H1497" s="541" t="s">
        <v>5013</v>
      </c>
      <c r="I1497" t="s">
        <v>6016</v>
      </c>
      <c r="J1497" s="686" t="s">
        <v>6017</v>
      </c>
      <c r="K1497" s="516">
        <v>58223.86</v>
      </c>
      <c r="L1497" s="543">
        <v>58.636200000000002</v>
      </c>
      <c r="M1497" s="516">
        <f t="shared" si="122"/>
        <v>992.96782533656676</v>
      </c>
      <c r="N1497" s="587">
        <v>60</v>
      </c>
      <c r="O1497" s="588">
        <f t="shared" si="118"/>
        <v>970.39766666666662</v>
      </c>
      <c r="P1497" s="682">
        <f t="shared" ca="1" si="120"/>
        <v>17</v>
      </c>
      <c r="Q1497" s="552">
        <f t="shared" ca="1" si="119"/>
        <v>41727.099666666669</v>
      </c>
      <c r="R1497" s="563">
        <f t="shared" ca="1" si="121"/>
        <v>41727.099666666669</v>
      </c>
      <c r="S1497" s="513" t="s">
        <v>4964</v>
      </c>
    </row>
    <row r="1498" spans="2:19" ht="29.25" x14ac:dyDescent="0.25">
      <c r="B1498" s="862">
        <v>45351</v>
      </c>
      <c r="C1498" s="681">
        <v>45460</v>
      </c>
      <c r="D1498" s="681"/>
      <c r="E1498" s="520" t="s">
        <v>4997</v>
      </c>
      <c r="F1498" s="513" t="s">
        <v>5073</v>
      </c>
      <c r="G1498" s="759" t="s">
        <v>4962</v>
      </c>
      <c r="H1498" s="541" t="s">
        <v>5014</v>
      </c>
      <c r="I1498" t="s">
        <v>6016</v>
      </c>
      <c r="J1498" s="686" t="s">
        <v>6017</v>
      </c>
      <c r="K1498" s="516">
        <v>58223.86</v>
      </c>
      <c r="L1498" s="543">
        <v>58.636200000000002</v>
      </c>
      <c r="M1498" s="516">
        <f t="shared" si="122"/>
        <v>992.96782533656676</v>
      </c>
      <c r="N1498" s="587">
        <v>60</v>
      </c>
      <c r="O1498" s="588">
        <f t="shared" si="118"/>
        <v>970.39766666666662</v>
      </c>
      <c r="P1498" s="682">
        <f t="shared" ca="1" si="120"/>
        <v>17</v>
      </c>
      <c r="Q1498" s="552">
        <f t="shared" ca="1" si="119"/>
        <v>41727.099666666669</v>
      </c>
      <c r="R1498" s="563">
        <f t="shared" ca="1" si="121"/>
        <v>41727.099666666669</v>
      </c>
      <c r="S1498" s="513" t="s">
        <v>4964</v>
      </c>
    </row>
    <row r="1499" spans="2:19" ht="29.25" x14ac:dyDescent="0.25">
      <c r="B1499" s="862">
        <v>45351</v>
      </c>
      <c r="C1499" s="681">
        <v>45460</v>
      </c>
      <c r="D1499" s="681"/>
      <c r="E1499" s="520" t="s">
        <v>4997</v>
      </c>
      <c r="F1499" s="513" t="s">
        <v>5074</v>
      </c>
      <c r="G1499" s="759" t="s">
        <v>4962</v>
      </c>
      <c r="H1499" s="541" t="s">
        <v>5015</v>
      </c>
      <c r="I1499" t="s">
        <v>6016</v>
      </c>
      <c r="J1499" s="686" t="s">
        <v>6017</v>
      </c>
      <c r="K1499" s="516">
        <v>58223.86</v>
      </c>
      <c r="L1499" s="543">
        <v>58.636200000000002</v>
      </c>
      <c r="M1499" s="516">
        <f t="shared" si="122"/>
        <v>992.96782533656676</v>
      </c>
      <c r="N1499" s="587">
        <v>60</v>
      </c>
      <c r="O1499" s="588">
        <f t="shared" si="118"/>
        <v>970.39766666666662</v>
      </c>
      <c r="P1499" s="682">
        <f t="shared" ca="1" si="120"/>
        <v>17</v>
      </c>
      <c r="Q1499" s="552">
        <f t="shared" ca="1" si="119"/>
        <v>41727.099666666669</v>
      </c>
      <c r="R1499" s="563">
        <f t="shared" ca="1" si="121"/>
        <v>41727.099666666669</v>
      </c>
      <c r="S1499" s="513" t="s">
        <v>4964</v>
      </c>
    </row>
    <row r="1500" spans="2:19" ht="29.25" x14ac:dyDescent="0.25">
      <c r="B1500" s="862">
        <v>45351</v>
      </c>
      <c r="C1500" s="681">
        <v>45460</v>
      </c>
      <c r="D1500" s="681"/>
      <c r="E1500" s="520" t="s">
        <v>4997</v>
      </c>
      <c r="F1500" s="513" t="s">
        <v>5075</v>
      </c>
      <c r="G1500" s="759" t="s">
        <v>4962</v>
      </c>
      <c r="H1500" s="541" t="s">
        <v>5016</v>
      </c>
      <c r="I1500" t="s">
        <v>6016</v>
      </c>
      <c r="J1500" s="686" t="s">
        <v>6017</v>
      </c>
      <c r="K1500" s="516">
        <v>58223.86</v>
      </c>
      <c r="L1500" s="543">
        <v>58.636200000000002</v>
      </c>
      <c r="M1500" s="516">
        <f t="shared" si="122"/>
        <v>992.96782533656676</v>
      </c>
      <c r="N1500" s="587">
        <v>60</v>
      </c>
      <c r="O1500" s="588">
        <f t="shared" si="118"/>
        <v>970.39766666666662</v>
      </c>
      <c r="P1500" s="682">
        <f t="shared" ca="1" si="120"/>
        <v>17</v>
      </c>
      <c r="Q1500" s="552">
        <f t="shared" ca="1" si="119"/>
        <v>41727.099666666669</v>
      </c>
      <c r="R1500" s="563">
        <f t="shared" ca="1" si="121"/>
        <v>41727.099666666669</v>
      </c>
      <c r="S1500" s="513" t="s">
        <v>4964</v>
      </c>
    </row>
    <row r="1501" spans="2:19" ht="29.25" x14ac:dyDescent="0.25">
      <c r="B1501" s="862">
        <v>45351</v>
      </c>
      <c r="C1501" s="681">
        <v>45460</v>
      </c>
      <c r="D1501" s="681"/>
      <c r="E1501" s="520" t="s">
        <v>4997</v>
      </c>
      <c r="F1501" s="513" t="s">
        <v>5076</v>
      </c>
      <c r="G1501" s="759" t="s">
        <v>4962</v>
      </c>
      <c r="H1501" s="541" t="s">
        <v>5017</v>
      </c>
      <c r="I1501" t="s">
        <v>6016</v>
      </c>
      <c r="J1501" s="686" t="s">
        <v>6017</v>
      </c>
      <c r="K1501" s="516">
        <v>58223.86</v>
      </c>
      <c r="L1501" s="543">
        <v>58.636200000000002</v>
      </c>
      <c r="M1501" s="516">
        <f t="shared" si="122"/>
        <v>992.96782533656676</v>
      </c>
      <c r="N1501" s="587">
        <v>60</v>
      </c>
      <c r="O1501" s="588">
        <f t="shared" si="118"/>
        <v>970.39766666666662</v>
      </c>
      <c r="P1501" s="682">
        <f t="shared" ca="1" si="120"/>
        <v>17</v>
      </c>
      <c r="Q1501" s="552">
        <f t="shared" ca="1" si="119"/>
        <v>41727.099666666669</v>
      </c>
      <c r="R1501" s="563">
        <f t="shared" ca="1" si="121"/>
        <v>41727.099666666669</v>
      </c>
      <c r="S1501" s="513" t="s">
        <v>4964</v>
      </c>
    </row>
    <row r="1502" spans="2:19" ht="29.25" x14ac:dyDescent="0.25">
      <c r="B1502" s="862">
        <v>45351</v>
      </c>
      <c r="C1502" s="681">
        <v>45460</v>
      </c>
      <c r="D1502" s="681"/>
      <c r="E1502" s="520" t="s">
        <v>4997</v>
      </c>
      <c r="F1502" s="513" t="s">
        <v>5077</v>
      </c>
      <c r="G1502" s="759" t="s">
        <v>4962</v>
      </c>
      <c r="H1502" s="541" t="s">
        <v>5018</v>
      </c>
      <c r="I1502" t="s">
        <v>6016</v>
      </c>
      <c r="J1502" s="686" t="s">
        <v>6017</v>
      </c>
      <c r="K1502" s="516">
        <v>58223.86</v>
      </c>
      <c r="L1502" s="543">
        <v>58.636200000000002</v>
      </c>
      <c r="M1502" s="516">
        <f t="shared" si="122"/>
        <v>992.96782533656676</v>
      </c>
      <c r="N1502" s="587">
        <v>60</v>
      </c>
      <c r="O1502" s="588">
        <f t="shared" si="118"/>
        <v>970.39766666666662</v>
      </c>
      <c r="P1502" s="682">
        <f t="shared" ca="1" si="120"/>
        <v>17</v>
      </c>
      <c r="Q1502" s="552">
        <f t="shared" ca="1" si="119"/>
        <v>41727.099666666669</v>
      </c>
      <c r="R1502" s="563">
        <f t="shared" ca="1" si="121"/>
        <v>41727.099666666669</v>
      </c>
      <c r="S1502" s="513" t="s">
        <v>4964</v>
      </c>
    </row>
    <row r="1503" spans="2:19" ht="29.25" x14ac:dyDescent="0.25">
      <c r="B1503" s="862">
        <v>45351</v>
      </c>
      <c r="C1503" s="681">
        <v>45460</v>
      </c>
      <c r="D1503" s="681"/>
      <c r="E1503" s="520" t="s">
        <v>4997</v>
      </c>
      <c r="F1503" s="513" t="s">
        <v>5078</v>
      </c>
      <c r="G1503" s="759" t="s">
        <v>4962</v>
      </c>
      <c r="H1503" s="541" t="s">
        <v>5019</v>
      </c>
      <c r="I1503" t="s">
        <v>6016</v>
      </c>
      <c r="J1503" s="686" t="s">
        <v>6017</v>
      </c>
      <c r="K1503" s="516">
        <v>58223.86</v>
      </c>
      <c r="L1503" s="543">
        <v>58.636200000000002</v>
      </c>
      <c r="M1503" s="516">
        <f t="shared" si="122"/>
        <v>992.96782533656676</v>
      </c>
      <c r="N1503" s="587">
        <v>60</v>
      </c>
      <c r="O1503" s="588">
        <f t="shared" si="118"/>
        <v>970.39766666666662</v>
      </c>
      <c r="P1503" s="682">
        <f t="shared" ca="1" si="120"/>
        <v>17</v>
      </c>
      <c r="Q1503" s="552">
        <f t="shared" ca="1" si="119"/>
        <v>41727.099666666669</v>
      </c>
      <c r="R1503" s="563">
        <f t="shared" ca="1" si="121"/>
        <v>41727.099666666669</v>
      </c>
      <c r="S1503" s="513" t="s">
        <v>4964</v>
      </c>
    </row>
    <row r="1504" spans="2:19" ht="29.25" x14ac:dyDescent="0.25">
      <c r="B1504" s="862">
        <v>45351</v>
      </c>
      <c r="C1504" s="681">
        <v>45460</v>
      </c>
      <c r="D1504" s="681"/>
      <c r="E1504" s="520" t="s">
        <v>4997</v>
      </c>
      <c r="F1504" s="513" t="s">
        <v>5079</v>
      </c>
      <c r="G1504" s="759" t="s">
        <v>4962</v>
      </c>
      <c r="H1504" s="541" t="s">
        <v>5020</v>
      </c>
      <c r="I1504" t="s">
        <v>6016</v>
      </c>
      <c r="J1504" s="686" t="s">
        <v>6017</v>
      </c>
      <c r="K1504" s="516">
        <v>58223.86</v>
      </c>
      <c r="L1504" s="543">
        <v>58.636200000000002</v>
      </c>
      <c r="M1504" s="516">
        <f t="shared" si="122"/>
        <v>992.96782533656676</v>
      </c>
      <c r="N1504" s="587">
        <v>60</v>
      </c>
      <c r="O1504" s="588">
        <f t="shared" si="118"/>
        <v>970.39766666666662</v>
      </c>
      <c r="P1504" s="682">
        <f t="shared" ca="1" si="120"/>
        <v>17</v>
      </c>
      <c r="Q1504" s="552">
        <f t="shared" ca="1" si="119"/>
        <v>41727.099666666669</v>
      </c>
      <c r="R1504" s="563">
        <f t="shared" ca="1" si="121"/>
        <v>41727.099666666669</v>
      </c>
      <c r="S1504" s="513" t="s">
        <v>4964</v>
      </c>
    </row>
    <row r="1505" spans="2:19" ht="29.25" x14ac:dyDescent="0.25">
      <c r="B1505" s="862">
        <v>45351</v>
      </c>
      <c r="C1505" s="681">
        <v>45460</v>
      </c>
      <c r="D1505" s="681"/>
      <c r="E1505" s="520" t="s">
        <v>4997</v>
      </c>
      <c r="F1505" s="513" t="s">
        <v>5080</v>
      </c>
      <c r="G1505" s="759" t="s">
        <v>4962</v>
      </c>
      <c r="H1505" s="541" t="s">
        <v>5021</v>
      </c>
      <c r="I1505" t="s">
        <v>6016</v>
      </c>
      <c r="J1505" s="686" t="s">
        <v>6017</v>
      </c>
      <c r="K1505" s="516">
        <v>58223.86</v>
      </c>
      <c r="L1505" s="543">
        <v>58.636200000000002</v>
      </c>
      <c r="M1505" s="516">
        <f t="shared" si="122"/>
        <v>992.96782533656676</v>
      </c>
      <c r="N1505" s="587">
        <v>60</v>
      </c>
      <c r="O1505" s="588">
        <f t="shared" si="118"/>
        <v>970.39766666666662</v>
      </c>
      <c r="P1505" s="682">
        <f t="shared" ca="1" si="120"/>
        <v>17</v>
      </c>
      <c r="Q1505" s="552">
        <f t="shared" ca="1" si="119"/>
        <v>41727.099666666669</v>
      </c>
      <c r="R1505" s="563">
        <f t="shared" ca="1" si="121"/>
        <v>41727.099666666669</v>
      </c>
      <c r="S1505" s="513" t="s">
        <v>4964</v>
      </c>
    </row>
    <row r="1506" spans="2:19" ht="29.25" x14ac:dyDescent="0.25">
      <c r="B1506" s="862">
        <v>45351</v>
      </c>
      <c r="C1506" s="681">
        <v>45460</v>
      </c>
      <c r="D1506" s="681"/>
      <c r="E1506" s="520" t="s">
        <v>4997</v>
      </c>
      <c r="F1506" s="513" t="s">
        <v>5081</v>
      </c>
      <c r="G1506" s="759" t="s">
        <v>4962</v>
      </c>
      <c r="H1506" s="541" t="s">
        <v>5022</v>
      </c>
      <c r="I1506" t="s">
        <v>6016</v>
      </c>
      <c r="J1506" s="686" t="s">
        <v>6017</v>
      </c>
      <c r="K1506" s="516">
        <v>58223.86</v>
      </c>
      <c r="L1506" s="543">
        <v>58.636200000000002</v>
      </c>
      <c r="M1506" s="516">
        <f t="shared" si="122"/>
        <v>992.96782533656676</v>
      </c>
      <c r="N1506" s="587">
        <v>60</v>
      </c>
      <c r="O1506" s="588">
        <f t="shared" si="118"/>
        <v>970.39766666666662</v>
      </c>
      <c r="P1506" s="682">
        <f t="shared" ca="1" si="120"/>
        <v>17</v>
      </c>
      <c r="Q1506" s="552">
        <f t="shared" ca="1" si="119"/>
        <v>41727.099666666669</v>
      </c>
      <c r="R1506" s="563">
        <f t="shared" ca="1" si="121"/>
        <v>41727.099666666669</v>
      </c>
      <c r="S1506" s="513" t="s">
        <v>4964</v>
      </c>
    </row>
    <row r="1507" spans="2:19" ht="29.25" x14ac:dyDescent="0.25">
      <c r="B1507" s="862">
        <v>45351</v>
      </c>
      <c r="C1507" s="681">
        <v>45460</v>
      </c>
      <c r="D1507" s="681"/>
      <c r="E1507" s="520" t="s">
        <v>4997</v>
      </c>
      <c r="F1507" s="513" t="s">
        <v>5082</v>
      </c>
      <c r="G1507" s="759" t="s">
        <v>4962</v>
      </c>
      <c r="H1507" s="541" t="s">
        <v>5023</v>
      </c>
      <c r="I1507" t="s">
        <v>6016</v>
      </c>
      <c r="J1507" s="686" t="s">
        <v>6017</v>
      </c>
      <c r="K1507" s="516">
        <v>58223.86</v>
      </c>
      <c r="L1507" s="543">
        <v>58.636200000000002</v>
      </c>
      <c r="M1507" s="516">
        <f t="shared" si="122"/>
        <v>992.96782533656676</v>
      </c>
      <c r="N1507" s="587">
        <v>60</v>
      </c>
      <c r="O1507" s="588">
        <f t="shared" si="118"/>
        <v>970.39766666666662</v>
      </c>
      <c r="P1507" s="682">
        <f t="shared" ca="1" si="120"/>
        <v>17</v>
      </c>
      <c r="Q1507" s="552">
        <f t="shared" ca="1" si="119"/>
        <v>41727.099666666669</v>
      </c>
      <c r="R1507" s="563">
        <f t="shared" ca="1" si="121"/>
        <v>41727.099666666669</v>
      </c>
      <c r="S1507" s="513" t="s">
        <v>4964</v>
      </c>
    </row>
    <row r="1508" spans="2:19" ht="29.25" x14ac:dyDescent="0.25">
      <c r="B1508" s="862">
        <v>45351</v>
      </c>
      <c r="C1508" s="681">
        <v>45460</v>
      </c>
      <c r="D1508" s="681"/>
      <c r="E1508" s="520" t="s">
        <v>4997</v>
      </c>
      <c r="F1508" s="513" t="s">
        <v>5083</v>
      </c>
      <c r="G1508" s="759" t="s">
        <v>4962</v>
      </c>
      <c r="H1508" s="541" t="s">
        <v>5024</v>
      </c>
      <c r="I1508" t="s">
        <v>6016</v>
      </c>
      <c r="J1508" s="686" t="s">
        <v>6017</v>
      </c>
      <c r="K1508" s="516">
        <v>58223.86</v>
      </c>
      <c r="L1508" s="543">
        <v>58.636200000000002</v>
      </c>
      <c r="M1508" s="516">
        <f t="shared" si="122"/>
        <v>992.96782533656676</v>
      </c>
      <c r="N1508" s="587">
        <v>60</v>
      </c>
      <c r="O1508" s="588">
        <f t="shared" si="118"/>
        <v>970.39766666666662</v>
      </c>
      <c r="P1508" s="682">
        <f t="shared" ca="1" si="120"/>
        <v>17</v>
      </c>
      <c r="Q1508" s="552">
        <f t="shared" ca="1" si="119"/>
        <v>41727.099666666669</v>
      </c>
      <c r="R1508" s="563">
        <f t="shared" ca="1" si="121"/>
        <v>41727.099666666669</v>
      </c>
      <c r="S1508" s="513" t="s">
        <v>4964</v>
      </c>
    </row>
    <row r="1509" spans="2:19" ht="29.25" x14ac:dyDescent="0.25">
      <c r="B1509" s="862">
        <v>45351</v>
      </c>
      <c r="C1509" s="681">
        <v>45460</v>
      </c>
      <c r="D1509" s="681"/>
      <c r="E1509" s="520" t="s">
        <v>4997</v>
      </c>
      <c r="F1509" s="513" t="s">
        <v>5084</v>
      </c>
      <c r="G1509" s="759" t="s">
        <v>4962</v>
      </c>
      <c r="H1509" s="541" t="s">
        <v>5025</v>
      </c>
      <c r="I1509" t="s">
        <v>6016</v>
      </c>
      <c r="J1509" s="686" t="s">
        <v>6017</v>
      </c>
      <c r="K1509" s="516">
        <v>58223.86</v>
      </c>
      <c r="L1509" s="543">
        <v>58.636200000000002</v>
      </c>
      <c r="M1509" s="516">
        <f t="shared" si="122"/>
        <v>992.96782533656676</v>
      </c>
      <c r="N1509" s="587">
        <v>60</v>
      </c>
      <c r="O1509" s="588">
        <f t="shared" si="118"/>
        <v>970.39766666666662</v>
      </c>
      <c r="P1509" s="682">
        <f t="shared" ca="1" si="120"/>
        <v>17</v>
      </c>
      <c r="Q1509" s="552">
        <f t="shared" ca="1" si="119"/>
        <v>41727.099666666669</v>
      </c>
      <c r="R1509" s="563">
        <f t="shared" ca="1" si="121"/>
        <v>41727.099666666669</v>
      </c>
      <c r="S1509" s="513" t="s">
        <v>4964</v>
      </c>
    </row>
    <row r="1510" spans="2:19" ht="29.25" x14ac:dyDescent="0.25">
      <c r="B1510" s="862">
        <v>45351</v>
      </c>
      <c r="C1510" s="681">
        <v>45460</v>
      </c>
      <c r="D1510" s="681"/>
      <c r="E1510" s="520" t="s">
        <v>4997</v>
      </c>
      <c r="F1510" s="513" t="s">
        <v>5085</v>
      </c>
      <c r="G1510" s="759" t="s">
        <v>4962</v>
      </c>
      <c r="H1510" s="541" t="s">
        <v>5026</v>
      </c>
      <c r="I1510" t="s">
        <v>6016</v>
      </c>
      <c r="J1510" s="686" t="s">
        <v>6017</v>
      </c>
      <c r="K1510" s="516">
        <v>58223.86</v>
      </c>
      <c r="L1510" s="543">
        <v>58.636200000000002</v>
      </c>
      <c r="M1510" s="516">
        <f t="shared" si="122"/>
        <v>992.96782533656676</v>
      </c>
      <c r="N1510" s="587">
        <v>60</v>
      </c>
      <c r="O1510" s="588">
        <f t="shared" si="118"/>
        <v>970.39766666666662</v>
      </c>
      <c r="P1510" s="682">
        <f t="shared" ca="1" si="120"/>
        <v>17</v>
      </c>
      <c r="Q1510" s="552">
        <f t="shared" ca="1" si="119"/>
        <v>41727.099666666669</v>
      </c>
      <c r="R1510" s="563">
        <f t="shared" ca="1" si="121"/>
        <v>41727.099666666669</v>
      </c>
      <c r="S1510" s="513" t="s">
        <v>4964</v>
      </c>
    </row>
    <row r="1511" spans="2:19" ht="29.25" x14ac:dyDescent="0.25">
      <c r="B1511" s="862">
        <v>45351</v>
      </c>
      <c r="C1511" s="681">
        <v>45460</v>
      </c>
      <c r="D1511" s="681"/>
      <c r="E1511" s="520" t="s">
        <v>4997</v>
      </c>
      <c r="F1511" s="513" t="s">
        <v>5086</v>
      </c>
      <c r="G1511" s="759" t="s">
        <v>4962</v>
      </c>
      <c r="H1511" s="541" t="s">
        <v>5027</v>
      </c>
      <c r="I1511" t="s">
        <v>6016</v>
      </c>
      <c r="J1511" s="686" t="s">
        <v>6017</v>
      </c>
      <c r="K1511" s="516">
        <v>58223.86</v>
      </c>
      <c r="L1511" s="543">
        <v>58.636200000000002</v>
      </c>
      <c r="M1511" s="516">
        <f t="shared" si="122"/>
        <v>992.96782533656676</v>
      </c>
      <c r="N1511" s="587">
        <v>60</v>
      </c>
      <c r="O1511" s="588">
        <f t="shared" si="118"/>
        <v>970.39766666666662</v>
      </c>
      <c r="P1511" s="682">
        <f t="shared" ca="1" si="120"/>
        <v>17</v>
      </c>
      <c r="Q1511" s="552">
        <f t="shared" ca="1" si="119"/>
        <v>41727.099666666669</v>
      </c>
      <c r="R1511" s="563">
        <f t="shared" ca="1" si="121"/>
        <v>41727.099666666669</v>
      </c>
      <c r="S1511" s="513" t="s">
        <v>4964</v>
      </c>
    </row>
    <row r="1512" spans="2:19" ht="29.25" x14ac:dyDescent="0.25">
      <c r="B1512" s="862">
        <v>45351</v>
      </c>
      <c r="C1512" s="681">
        <v>45460</v>
      </c>
      <c r="D1512" s="681"/>
      <c r="E1512" s="520" t="s">
        <v>4997</v>
      </c>
      <c r="F1512" s="513" t="s">
        <v>5087</v>
      </c>
      <c r="G1512" s="759" t="s">
        <v>4962</v>
      </c>
      <c r="H1512" s="541" t="s">
        <v>5028</v>
      </c>
      <c r="I1512" t="s">
        <v>6016</v>
      </c>
      <c r="J1512" s="686" t="s">
        <v>6017</v>
      </c>
      <c r="K1512" s="516">
        <v>58223.86</v>
      </c>
      <c r="L1512" s="543">
        <v>58.636200000000002</v>
      </c>
      <c r="M1512" s="516">
        <f t="shared" si="122"/>
        <v>992.96782533656676</v>
      </c>
      <c r="N1512" s="587">
        <v>60</v>
      </c>
      <c r="O1512" s="588">
        <f t="shared" si="118"/>
        <v>970.39766666666662</v>
      </c>
      <c r="P1512" s="682">
        <f t="shared" ca="1" si="120"/>
        <v>17</v>
      </c>
      <c r="Q1512" s="552">
        <f t="shared" ca="1" si="119"/>
        <v>41727.099666666669</v>
      </c>
      <c r="R1512" s="563">
        <f t="shared" ca="1" si="121"/>
        <v>41727.099666666669</v>
      </c>
      <c r="S1512" s="513" t="s">
        <v>4964</v>
      </c>
    </row>
    <row r="1513" spans="2:19" ht="29.25" x14ac:dyDescent="0.25">
      <c r="B1513" s="862">
        <v>45351</v>
      </c>
      <c r="C1513" s="681">
        <v>45460</v>
      </c>
      <c r="D1513" s="681"/>
      <c r="E1513" s="520" t="s">
        <v>4997</v>
      </c>
      <c r="F1513" s="513" t="s">
        <v>5088</v>
      </c>
      <c r="G1513" s="759" t="s">
        <v>4962</v>
      </c>
      <c r="H1513" s="541" t="s">
        <v>5029</v>
      </c>
      <c r="I1513" t="s">
        <v>6016</v>
      </c>
      <c r="J1513" s="686" t="s">
        <v>6017</v>
      </c>
      <c r="K1513" s="516">
        <v>58223.86</v>
      </c>
      <c r="L1513" s="543">
        <v>58.636200000000002</v>
      </c>
      <c r="M1513" s="516">
        <f t="shared" si="122"/>
        <v>992.96782533656676</v>
      </c>
      <c r="N1513" s="587">
        <v>60</v>
      </c>
      <c r="O1513" s="588">
        <f t="shared" si="118"/>
        <v>970.39766666666662</v>
      </c>
      <c r="P1513" s="682">
        <f t="shared" ca="1" si="120"/>
        <v>17</v>
      </c>
      <c r="Q1513" s="552">
        <f t="shared" ca="1" si="119"/>
        <v>41727.099666666669</v>
      </c>
      <c r="R1513" s="563">
        <f t="shared" ca="1" si="121"/>
        <v>41727.099666666669</v>
      </c>
      <c r="S1513" s="513" t="s">
        <v>4964</v>
      </c>
    </row>
    <row r="1514" spans="2:19" ht="29.25" x14ac:dyDescent="0.25">
      <c r="B1514" s="862">
        <v>45351</v>
      </c>
      <c r="C1514" s="681">
        <v>45460</v>
      </c>
      <c r="D1514" s="681"/>
      <c r="E1514" s="520" t="s">
        <v>4997</v>
      </c>
      <c r="F1514" s="513" t="s">
        <v>5089</v>
      </c>
      <c r="G1514" s="759" t="s">
        <v>4962</v>
      </c>
      <c r="H1514" s="541" t="s">
        <v>5030</v>
      </c>
      <c r="I1514" t="s">
        <v>6016</v>
      </c>
      <c r="J1514" s="686" t="s">
        <v>6017</v>
      </c>
      <c r="K1514" s="516">
        <v>58223.86</v>
      </c>
      <c r="L1514" s="543">
        <v>58.636200000000002</v>
      </c>
      <c r="M1514" s="516">
        <f t="shared" si="122"/>
        <v>992.96782533656676</v>
      </c>
      <c r="N1514" s="587">
        <v>60</v>
      </c>
      <c r="O1514" s="588">
        <f t="shared" si="118"/>
        <v>970.39766666666662</v>
      </c>
      <c r="P1514" s="682">
        <f t="shared" ca="1" si="120"/>
        <v>17</v>
      </c>
      <c r="Q1514" s="552">
        <f t="shared" ca="1" si="119"/>
        <v>41727.099666666669</v>
      </c>
      <c r="R1514" s="563">
        <f t="shared" ca="1" si="121"/>
        <v>41727.099666666669</v>
      </c>
      <c r="S1514" s="513" t="s">
        <v>4964</v>
      </c>
    </row>
    <row r="1515" spans="2:19" ht="29.25" x14ac:dyDescent="0.25">
      <c r="B1515" s="862">
        <v>45351</v>
      </c>
      <c r="C1515" s="681">
        <v>45460</v>
      </c>
      <c r="D1515" s="681"/>
      <c r="E1515" s="520" t="s">
        <v>4997</v>
      </c>
      <c r="F1515" s="513" t="s">
        <v>5090</v>
      </c>
      <c r="G1515" s="759" t="s">
        <v>4962</v>
      </c>
      <c r="H1515" s="541" t="s">
        <v>5031</v>
      </c>
      <c r="I1515" t="s">
        <v>6016</v>
      </c>
      <c r="J1515" s="686" t="s">
        <v>6017</v>
      </c>
      <c r="K1515" s="516">
        <v>58223.86</v>
      </c>
      <c r="L1515" s="543">
        <v>58.636200000000002</v>
      </c>
      <c r="M1515" s="516">
        <f t="shared" si="122"/>
        <v>992.96782533656676</v>
      </c>
      <c r="N1515" s="587">
        <v>60</v>
      </c>
      <c r="O1515" s="588">
        <f t="shared" si="118"/>
        <v>970.39766666666662</v>
      </c>
      <c r="P1515" s="682">
        <f t="shared" ca="1" si="120"/>
        <v>17</v>
      </c>
      <c r="Q1515" s="552">
        <f t="shared" ca="1" si="119"/>
        <v>41727.099666666669</v>
      </c>
      <c r="R1515" s="563">
        <f t="shared" ca="1" si="121"/>
        <v>41727.099666666669</v>
      </c>
      <c r="S1515" s="513" t="s">
        <v>4964</v>
      </c>
    </row>
    <row r="1516" spans="2:19" ht="29.25" x14ac:dyDescent="0.25">
      <c r="B1516" s="862">
        <v>45351</v>
      </c>
      <c r="C1516" s="681">
        <v>45460</v>
      </c>
      <c r="D1516" s="681"/>
      <c r="E1516" s="520" t="s">
        <v>4997</v>
      </c>
      <c r="F1516" s="513" t="s">
        <v>5091</v>
      </c>
      <c r="G1516" s="759" t="s">
        <v>4962</v>
      </c>
      <c r="H1516" s="541" t="s">
        <v>5032</v>
      </c>
      <c r="I1516" t="s">
        <v>6016</v>
      </c>
      <c r="J1516" s="686" t="s">
        <v>6017</v>
      </c>
      <c r="K1516" s="516">
        <v>58223.86</v>
      </c>
      <c r="L1516" s="543">
        <v>58.636200000000002</v>
      </c>
      <c r="M1516" s="516">
        <f t="shared" si="122"/>
        <v>992.96782533656676</v>
      </c>
      <c r="N1516" s="587">
        <v>60</v>
      </c>
      <c r="O1516" s="588">
        <f t="shared" si="118"/>
        <v>970.39766666666662</v>
      </c>
      <c r="P1516" s="682">
        <f t="shared" ca="1" si="120"/>
        <v>17</v>
      </c>
      <c r="Q1516" s="552">
        <f t="shared" ca="1" si="119"/>
        <v>41727.099666666669</v>
      </c>
      <c r="R1516" s="563">
        <f t="shared" ca="1" si="121"/>
        <v>41727.099666666669</v>
      </c>
      <c r="S1516" s="513" t="s">
        <v>4964</v>
      </c>
    </row>
    <row r="1517" spans="2:19" ht="29.25" x14ac:dyDescent="0.25">
      <c r="B1517" s="862">
        <v>45351</v>
      </c>
      <c r="C1517" s="681">
        <v>45460</v>
      </c>
      <c r="D1517" s="681"/>
      <c r="E1517" s="520" t="s">
        <v>4997</v>
      </c>
      <c r="F1517" s="513" t="s">
        <v>5092</v>
      </c>
      <c r="G1517" s="759" t="s">
        <v>4962</v>
      </c>
      <c r="H1517" s="541" t="s">
        <v>5033</v>
      </c>
      <c r="I1517" t="s">
        <v>6016</v>
      </c>
      <c r="J1517" s="686" t="s">
        <v>6017</v>
      </c>
      <c r="K1517" s="516">
        <v>58223.86</v>
      </c>
      <c r="L1517" s="543">
        <v>58.636200000000002</v>
      </c>
      <c r="M1517" s="516">
        <f t="shared" si="122"/>
        <v>992.96782533656676</v>
      </c>
      <c r="N1517" s="587">
        <v>60</v>
      </c>
      <c r="O1517" s="588">
        <f t="shared" si="118"/>
        <v>970.39766666666662</v>
      </c>
      <c r="P1517" s="682">
        <f t="shared" ca="1" si="120"/>
        <v>17</v>
      </c>
      <c r="Q1517" s="552">
        <f t="shared" ca="1" si="119"/>
        <v>41727.099666666669</v>
      </c>
      <c r="R1517" s="563">
        <f t="shared" ca="1" si="121"/>
        <v>41727.099666666669</v>
      </c>
      <c r="S1517" s="513" t="s">
        <v>4964</v>
      </c>
    </row>
    <row r="1518" spans="2:19" ht="29.25" x14ac:dyDescent="0.25">
      <c r="B1518" s="862">
        <v>45351</v>
      </c>
      <c r="C1518" s="681">
        <v>45460</v>
      </c>
      <c r="D1518" s="681"/>
      <c r="E1518" s="520" t="s">
        <v>4997</v>
      </c>
      <c r="F1518" s="513" t="s">
        <v>5093</v>
      </c>
      <c r="G1518" s="759" t="s">
        <v>4962</v>
      </c>
      <c r="H1518" s="541" t="s">
        <v>5034</v>
      </c>
      <c r="I1518" t="s">
        <v>6016</v>
      </c>
      <c r="J1518" s="686" t="s">
        <v>6017</v>
      </c>
      <c r="K1518" s="516">
        <v>58223.86</v>
      </c>
      <c r="L1518" s="543">
        <v>58.636200000000002</v>
      </c>
      <c r="M1518" s="516">
        <f t="shared" si="122"/>
        <v>992.96782533656676</v>
      </c>
      <c r="N1518" s="587">
        <v>60</v>
      </c>
      <c r="O1518" s="588">
        <f t="shared" si="118"/>
        <v>970.39766666666662</v>
      </c>
      <c r="P1518" s="682">
        <f t="shared" ca="1" si="120"/>
        <v>17</v>
      </c>
      <c r="Q1518" s="552">
        <f t="shared" ca="1" si="119"/>
        <v>41727.099666666669</v>
      </c>
      <c r="R1518" s="563">
        <f t="shared" ca="1" si="121"/>
        <v>41727.099666666669</v>
      </c>
      <c r="S1518" s="513" t="s">
        <v>4964</v>
      </c>
    </row>
    <row r="1519" spans="2:19" ht="29.25" x14ac:dyDescent="0.25">
      <c r="B1519" s="862">
        <v>45351</v>
      </c>
      <c r="C1519" s="681">
        <v>45460</v>
      </c>
      <c r="D1519" s="681"/>
      <c r="E1519" s="520" t="s">
        <v>4997</v>
      </c>
      <c r="F1519" s="513" t="s">
        <v>5094</v>
      </c>
      <c r="G1519" s="759" t="s">
        <v>4962</v>
      </c>
      <c r="H1519" s="541" t="s">
        <v>5035</v>
      </c>
      <c r="I1519" t="s">
        <v>6016</v>
      </c>
      <c r="J1519" s="686" t="s">
        <v>6017</v>
      </c>
      <c r="K1519" s="516">
        <v>58223.86</v>
      </c>
      <c r="L1519" s="543">
        <v>58.636200000000002</v>
      </c>
      <c r="M1519" s="516">
        <f t="shared" si="122"/>
        <v>992.96782533656676</v>
      </c>
      <c r="N1519" s="587">
        <v>60</v>
      </c>
      <c r="O1519" s="588">
        <f t="shared" si="118"/>
        <v>970.39766666666662</v>
      </c>
      <c r="P1519" s="682">
        <f t="shared" ca="1" si="120"/>
        <v>17</v>
      </c>
      <c r="Q1519" s="552">
        <f t="shared" ca="1" si="119"/>
        <v>41727.099666666669</v>
      </c>
      <c r="R1519" s="563">
        <f t="shared" ca="1" si="121"/>
        <v>41727.099666666669</v>
      </c>
      <c r="S1519" s="513" t="s">
        <v>4964</v>
      </c>
    </row>
    <row r="1520" spans="2:19" ht="29.25" x14ac:dyDescent="0.25">
      <c r="B1520" s="862">
        <v>45351</v>
      </c>
      <c r="C1520" s="681">
        <v>45460</v>
      </c>
      <c r="D1520" s="681"/>
      <c r="E1520" s="520" t="s">
        <v>4997</v>
      </c>
      <c r="F1520" s="513" t="s">
        <v>5095</v>
      </c>
      <c r="G1520" s="759" t="s">
        <v>4962</v>
      </c>
      <c r="H1520" s="541" t="s">
        <v>5036</v>
      </c>
      <c r="I1520" t="s">
        <v>6016</v>
      </c>
      <c r="J1520" s="686" t="s">
        <v>6017</v>
      </c>
      <c r="K1520" s="516">
        <v>58223.86</v>
      </c>
      <c r="L1520" s="543">
        <v>58.636200000000002</v>
      </c>
      <c r="M1520" s="516">
        <f t="shared" si="122"/>
        <v>992.96782533656676</v>
      </c>
      <c r="N1520" s="587">
        <v>60</v>
      </c>
      <c r="O1520" s="588">
        <f t="shared" si="118"/>
        <v>970.39766666666662</v>
      </c>
      <c r="P1520" s="682">
        <f t="shared" ca="1" si="120"/>
        <v>17</v>
      </c>
      <c r="Q1520" s="552">
        <f t="shared" ca="1" si="119"/>
        <v>41727.099666666669</v>
      </c>
      <c r="R1520" s="563">
        <f t="shared" ca="1" si="121"/>
        <v>41727.099666666669</v>
      </c>
      <c r="S1520" s="513" t="s">
        <v>4964</v>
      </c>
    </row>
    <row r="1521" spans="2:19" ht="29.25" x14ac:dyDescent="0.25">
      <c r="B1521" s="862">
        <v>45351</v>
      </c>
      <c r="C1521" s="681">
        <v>45460</v>
      </c>
      <c r="D1521" s="681"/>
      <c r="E1521" s="520" t="s">
        <v>4997</v>
      </c>
      <c r="F1521" s="513" t="s">
        <v>5096</v>
      </c>
      <c r="G1521" s="759" t="s">
        <v>4962</v>
      </c>
      <c r="H1521" s="541" t="s">
        <v>5037</v>
      </c>
      <c r="I1521" t="s">
        <v>6016</v>
      </c>
      <c r="J1521" s="686" t="s">
        <v>6017</v>
      </c>
      <c r="K1521" s="516">
        <v>58223.86</v>
      </c>
      <c r="L1521" s="543">
        <v>58.636200000000002</v>
      </c>
      <c r="M1521" s="516">
        <f t="shared" si="122"/>
        <v>992.96782533656676</v>
      </c>
      <c r="N1521" s="587">
        <v>60</v>
      </c>
      <c r="O1521" s="588">
        <f t="shared" si="118"/>
        <v>970.39766666666662</v>
      </c>
      <c r="P1521" s="682">
        <f t="shared" ca="1" si="120"/>
        <v>17</v>
      </c>
      <c r="Q1521" s="552">
        <f t="shared" ca="1" si="119"/>
        <v>41727.099666666669</v>
      </c>
      <c r="R1521" s="563">
        <f t="shared" ca="1" si="121"/>
        <v>41727.099666666669</v>
      </c>
      <c r="S1521" s="513" t="s">
        <v>4964</v>
      </c>
    </row>
    <row r="1522" spans="2:19" ht="29.25" x14ac:dyDescent="0.25">
      <c r="B1522" s="862">
        <v>45351</v>
      </c>
      <c r="C1522" s="681">
        <v>45460</v>
      </c>
      <c r="D1522" s="681"/>
      <c r="E1522" s="520" t="s">
        <v>4997</v>
      </c>
      <c r="F1522" s="513" t="s">
        <v>5097</v>
      </c>
      <c r="G1522" s="759" t="s">
        <v>4962</v>
      </c>
      <c r="H1522" s="541" t="s">
        <v>5038</v>
      </c>
      <c r="I1522" t="s">
        <v>6016</v>
      </c>
      <c r="J1522" s="686" t="s">
        <v>6017</v>
      </c>
      <c r="K1522" s="516">
        <v>58223.86</v>
      </c>
      <c r="L1522" s="543">
        <v>58.636200000000002</v>
      </c>
      <c r="M1522" s="516">
        <f t="shared" si="122"/>
        <v>992.96782533656676</v>
      </c>
      <c r="N1522" s="587">
        <v>60</v>
      </c>
      <c r="O1522" s="588">
        <f t="shared" si="118"/>
        <v>970.39766666666662</v>
      </c>
      <c r="P1522" s="682">
        <f t="shared" ca="1" si="120"/>
        <v>17</v>
      </c>
      <c r="Q1522" s="552">
        <f t="shared" ca="1" si="119"/>
        <v>41727.099666666669</v>
      </c>
      <c r="R1522" s="563">
        <f t="shared" ca="1" si="121"/>
        <v>41727.099666666669</v>
      </c>
      <c r="S1522" s="513" t="s">
        <v>4964</v>
      </c>
    </row>
    <row r="1523" spans="2:19" ht="29.25" x14ac:dyDescent="0.25">
      <c r="B1523" s="862">
        <v>45351</v>
      </c>
      <c r="C1523" s="681">
        <v>45460</v>
      </c>
      <c r="D1523" s="681"/>
      <c r="E1523" s="520" t="s">
        <v>4997</v>
      </c>
      <c r="F1523" s="513" t="s">
        <v>5098</v>
      </c>
      <c r="G1523" s="759" t="s">
        <v>4962</v>
      </c>
      <c r="H1523" s="541" t="s">
        <v>5039</v>
      </c>
      <c r="I1523" t="s">
        <v>6016</v>
      </c>
      <c r="J1523" s="686" t="s">
        <v>6017</v>
      </c>
      <c r="K1523" s="516">
        <v>58223.86</v>
      </c>
      <c r="L1523" s="543">
        <v>58.636200000000002</v>
      </c>
      <c r="M1523" s="516">
        <f t="shared" si="122"/>
        <v>992.96782533656676</v>
      </c>
      <c r="N1523" s="587">
        <v>60</v>
      </c>
      <c r="O1523" s="588">
        <f t="shared" si="118"/>
        <v>970.39766666666662</v>
      </c>
      <c r="P1523" s="682">
        <f t="shared" ca="1" si="120"/>
        <v>17</v>
      </c>
      <c r="Q1523" s="552">
        <f t="shared" ca="1" si="119"/>
        <v>41727.099666666669</v>
      </c>
      <c r="R1523" s="563">
        <f t="shared" ca="1" si="121"/>
        <v>41727.099666666669</v>
      </c>
      <c r="S1523" s="513" t="s">
        <v>4964</v>
      </c>
    </row>
    <row r="1524" spans="2:19" ht="29.25" x14ac:dyDescent="0.25">
      <c r="B1524" s="862">
        <v>45351</v>
      </c>
      <c r="C1524" s="681">
        <v>45460</v>
      </c>
      <c r="D1524" s="681"/>
      <c r="E1524" s="520" t="s">
        <v>4997</v>
      </c>
      <c r="F1524" s="513" t="s">
        <v>5099</v>
      </c>
      <c r="G1524" s="759" t="s">
        <v>4962</v>
      </c>
      <c r="H1524" s="541" t="s">
        <v>5040</v>
      </c>
      <c r="I1524" t="s">
        <v>6016</v>
      </c>
      <c r="J1524" s="686" t="s">
        <v>6017</v>
      </c>
      <c r="K1524" s="516">
        <v>58223.86</v>
      </c>
      <c r="L1524" s="543">
        <v>58.636200000000002</v>
      </c>
      <c r="M1524" s="516">
        <f t="shared" si="122"/>
        <v>992.96782533656676</v>
      </c>
      <c r="N1524" s="587">
        <v>60</v>
      </c>
      <c r="O1524" s="588">
        <f t="shared" si="118"/>
        <v>970.39766666666662</v>
      </c>
      <c r="P1524" s="682">
        <f t="shared" ca="1" si="120"/>
        <v>17</v>
      </c>
      <c r="Q1524" s="552">
        <f t="shared" ca="1" si="119"/>
        <v>41727.099666666669</v>
      </c>
      <c r="R1524" s="563">
        <f t="shared" ca="1" si="121"/>
        <v>41727.099666666669</v>
      </c>
      <c r="S1524" s="513" t="s">
        <v>4964</v>
      </c>
    </row>
    <row r="1525" spans="2:19" ht="29.25" x14ac:dyDescent="0.25">
      <c r="B1525" s="862">
        <v>45351</v>
      </c>
      <c r="C1525" s="681">
        <v>45460</v>
      </c>
      <c r="D1525" s="681"/>
      <c r="E1525" s="520" t="s">
        <v>4997</v>
      </c>
      <c r="F1525" s="513" t="s">
        <v>5100</v>
      </c>
      <c r="G1525" s="759" t="s">
        <v>4962</v>
      </c>
      <c r="H1525" s="541" t="s">
        <v>5041</v>
      </c>
      <c r="I1525" t="s">
        <v>6016</v>
      </c>
      <c r="J1525" s="686" t="s">
        <v>6017</v>
      </c>
      <c r="K1525" s="516">
        <v>58223.86</v>
      </c>
      <c r="L1525" s="543">
        <v>58.636200000000002</v>
      </c>
      <c r="M1525" s="516">
        <f t="shared" si="122"/>
        <v>992.96782533656676</v>
      </c>
      <c r="N1525" s="587">
        <v>60</v>
      </c>
      <c r="O1525" s="588">
        <f t="shared" ref="O1525:O1588" si="123">+K1525/N1525</f>
        <v>970.39766666666662</v>
      </c>
      <c r="P1525" s="682">
        <f t="shared" ca="1" si="120"/>
        <v>17</v>
      </c>
      <c r="Q1525" s="552">
        <f t="shared" ca="1" si="119"/>
        <v>41727.099666666669</v>
      </c>
      <c r="R1525" s="563">
        <f t="shared" ca="1" si="121"/>
        <v>41727.099666666669</v>
      </c>
      <c r="S1525" s="513" t="s">
        <v>4964</v>
      </c>
    </row>
    <row r="1526" spans="2:19" ht="29.25" x14ac:dyDescent="0.25">
      <c r="B1526" s="862">
        <v>45351</v>
      </c>
      <c r="C1526" s="681">
        <v>45460</v>
      </c>
      <c r="D1526" s="681"/>
      <c r="E1526" s="520" t="s">
        <v>4997</v>
      </c>
      <c r="F1526" s="513" t="s">
        <v>5101</v>
      </c>
      <c r="G1526" s="759" t="s">
        <v>4962</v>
      </c>
      <c r="H1526" s="541" t="s">
        <v>5042</v>
      </c>
      <c r="I1526" t="s">
        <v>6016</v>
      </c>
      <c r="J1526" s="686" t="s">
        <v>6017</v>
      </c>
      <c r="K1526" s="516">
        <v>58223.86</v>
      </c>
      <c r="L1526" s="543">
        <v>58.636200000000002</v>
      </c>
      <c r="M1526" s="516">
        <f t="shared" si="122"/>
        <v>992.96782533656676</v>
      </c>
      <c r="N1526" s="587">
        <v>60</v>
      </c>
      <c r="O1526" s="588">
        <f t="shared" si="123"/>
        <v>970.39766666666662</v>
      </c>
      <c r="P1526" s="682">
        <f t="shared" ca="1" si="120"/>
        <v>17</v>
      </c>
      <c r="Q1526" s="552">
        <f t="shared" ca="1" si="119"/>
        <v>41727.099666666669</v>
      </c>
      <c r="R1526" s="563">
        <f t="shared" ca="1" si="121"/>
        <v>41727.099666666669</v>
      </c>
      <c r="S1526" s="513" t="s">
        <v>4964</v>
      </c>
    </row>
    <row r="1527" spans="2:19" ht="29.25" x14ac:dyDescent="0.25">
      <c r="B1527" s="862">
        <v>45351</v>
      </c>
      <c r="C1527" s="681">
        <v>45460</v>
      </c>
      <c r="D1527" s="681"/>
      <c r="E1527" s="520" t="s">
        <v>4997</v>
      </c>
      <c r="F1527" s="513" t="s">
        <v>5102</v>
      </c>
      <c r="G1527" s="759" t="s">
        <v>4962</v>
      </c>
      <c r="H1527" s="541" t="s">
        <v>5055</v>
      </c>
      <c r="I1527" t="s">
        <v>6016</v>
      </c>
      <c r="J1527" s="686" t="s">
        <v>6017</v>
      </c>
      <c r="K1527" s="516">
        <v>58223.86</v>
      </c>
      <c r="L1527" s="543">
        <v>58.636200000000002</v>
      </c>
      <c r="M1527" s="516">
        <f t="shared" si="122"/>
        <v>992.96782533656676</v>
      </c>
      <c r="N1527" s="587">
        <v>60</v>
      </c>
      <c r="O1527" s="588">
        <f t="shared" si="123"/>
        <v>970.39766666666662</v>
      </c>
      <c r="P1527" s="682">
        <f t="shared" ca="1" si="120"/>
        <v>17</v>
      </c>
      <c r="Q1527" s="552">
        <f t="shared" ca="1" si="119"/>
        <v>41727.099666666669</v>
      </c>
      <c r="R1527" s="563">
        <f t="shared" ca="1" si="121"/>
        <v>41727.099666666669</v>
      </c>
      <c r="S1527" s="513" t="s">
        <v>4964</v>
      </c>
    </row>
    <row r="1528" spans="2:19" ht="29.25" x14ac:dyDescent="0.25">
      <c r="B1528" s="862">
        <v>45351</v>
      </c>
      <c r="C1528" s="681">
        <v>45460</v>
      </c>
      <c r="D1528" s="681"/>
      <c r="E1528" s="520" t="s">
        <v>4997</v>
      </c>
      <c r="F1528" s="513" t="s">
        <v>5103</v>
      </c>
      <c r="G1528" s="759" t="s">
        <v>4962</v>
      </c>
      <c r="H1528" s="541" t="s">
        <v>5043</v>
      </c>
      <c r="I1528" t="s">
        <v>6016</v>
      </c>
      <c r="J1528" s="686" t="s">
        <v>6017</v>
      </c>
      <c r="K1528" s="516">
        <v>58223.86</v>
      </c>
      <c r="L1528" s="543">
        <v>58.636200000000002</v>
      </c>
      <c r="M1528" s="516">
        <f t="shared" si="122"/>
        <v>992.96782533656676</v>
      </c>
      <c r="N1528" s="587">
        <v>60</v>
      </c>
      <c r="O1528" s="588">
        <f t="shared" si="123"/>
        <v>970.39766666666662</v>
      </c>
      <c r="P1528" s="682">
        <f t="shared" ca="1" si="120"/>
        <v>17</v>
      </c>
      <c r="Q1528" s="552">
        <f t="shared" ca="1" si="119"/>
        <v>41727.099666666669</v>
      </c>
      <c r="R1528" s="563">
        <f t="shared" ca="1" si="121"/>
        <v>41727.099666666669</v>
      </c>
      <c r="S1528" s="513" t="s">
        <v>4964</v>
      </c>
    </row>
    <row r="1529" spans="2:19" ht="29.25" x14ac:dyDescent="0.25">
      <c r="B1529" s="862">
        <v>45351</v>
      </c>
      <c r="C1529" s="681">
        <v>45460</v>
      </c>
      <c r="D1529" s="681"/>
      <c r="E1529" s="520" t="s">
        <v>4997</v>
      </c>
      <c r="F1529" s="513" t="s">
        <v>5104</v>
      </c>
      <c r="G1529" s="759" t="s">
        <v>4962</v>
      </c>
      <c r="H1529" s="541" t="s">
        <v>5044</v>
      </c>
      <c r="I1529" t="s">
        <v>6016</v>
      </c>
      <c r="J1529" s="686" t="s">
        <v>6017</v>
      </c>
      <c r="K1529" s="516">
        <v>58223.86</v>
      </c>
      <c r="L1529" s="543">
        <v>58.636200000000002</v>
      </c>
      <c r="M1529" s="516">
        <f t="shared" si="122"/>
        <v>992.96782533656676</v>
      </c>
      <c r="N1529" s="587">
        <v>60</v>
      </c>
      <c r="O1529" s="588">
        <f t="shared" si="123"/>
        <v>970.39766666666662</v>
      </c>
      <c r="P1529" s="682">
        <f t="shared" ca="1" si="120"/>
        <v>17</v>
      </c>
      <c r="Q1529" s="552">
        <f t="shared" ca="1" si="119"/>
        <v>41727.099666666669</v>
      </c>
      <c r="R1529" s="563">
        <f t="shared" ca="1" si="121"/>
        <v>41727.099666666669</v>
      </c>
      <c r="S1529" s="513" t="s">
        <v>4964</v>
      </c>
    </row>
    <row r="1530" spans="2:19" ht="29.25" x14ac:dyDescent="0.25">
      <c r="B1530" s="862">
        <v>45351</v>
      </c>
      <c r="C1530" s="681">
        <v>45460</v>
      </c>
      <c r="D1530" s="681"/>
      <c r="E1530" s="520" t="s">
        <v>4997</v>
      </c>
      <c r="F1530" s="513" t="s">
        <v>5105</v>
      </c>
      <c r="G1530" s="759" t="s">
        <v>4962</v>
      </c>
      <c r="H1530" s="541" t="s">
        <v>5045</v>
      </c>
      <c r="I1530" t="s">
        <v>6016</v>
      </c>
      <c r="J1530" s="686" t="s">
        <v>6017</v>
      </c>
      <c r="K1530" s="516">
        <v>58223.86</v>
      </c>
      <c r="L1530" s="543">
        <v>58.636200000000002</v>
      </c>
      <c r="M1530" s="516">
        <f t="shared" si="122"/>
        <v>992.96782533656676</v>
      </c>
      <c r="N1530" s="587">
        <v>60</v>
      </c>
      <c r="O1530" s="588">
        <f t="shared" si="123"/>
        <v>970.39766666666662</v>
      </c>
      <c r="P1530" s="682">
        <f t="shared" ca="1" si="120"/>
        <v>17</v>
      </c>
      <c r="Q1530" s="552">
        <f t="shared" ca="1" si="119"/>
        <v>41727.099666666669</v>
      </c>
      <c r="R1530" s="563">
        <f t="shared" ca="1" si="121"/>
        <v>41727.099666666669</v>
      </c>
      <c r="S1530" s="513" t="s">
        <v>4964</v>
      </c>
    </row>
    <row r="1531" spans="2:19" ht="29.25" x14ac:dyDescent="0.25">
      <c r="B1531" s="862">
        <v>45351</v>
      </c>
      <c r="C1531" s="681">
        <v>45460</v>
      </c>
      <c r="D1531" s="681"/>
      <c r="E1531" s="520" t="s">
        <v>4997</v>
      </c>
      <c r="F1531" s="513" t="s">
        <v>5106</v>
      </c>
      <c r="G1531" s="759" t="s">
        <v>4962</v>
      </c>
      <c r="H1531" s="541" t="s">
        <v>5046</v>
      </c>
      <c r="I1531" t="s">
        <v>6016</v>
      </c>
      <c r="J1531" s="686" t="s">
        <v>6017</v>
      </c>
      <c r="K1531" s="516">
        <v>58223.86</v>
      </c>
      <c r="L1531" s="543">
        <v>58.636200000000002</v>
      </c>
      <c r="M1531" s="516">
        <f t="shared" si="122"/>
        <v>992.96782533656676</v>
      </c>
      <c r="N1531" s="587">
        <v>60</v>
      </c>
      <c r="O1531" s="588">
        <f t="shared" si="123"/>
        <v>970.39766666666662</v>
      </c>
      <c r="P1531" s="682">
        <f t="shared" ca="1" si="120"/>
        <v>17</v>
      </c>
      <c r="Q1531" s="552">
        <f t="shared" ca="1" si="119"/>
        <v>41727.099666666669</v>
      </c>
      <c r="R1531" s="563">
        <f t="shared" ca="1" si="121"/>
        <v>41727.099666666669</v>
      </c>
      <c r="S1531" s="513" t="s">
        <v>4964</v>
      </c>
    </row>
    <row r="1532" spans="2:19" ht="29.25" x14ac:dyDescent="0.25">
      <c r="B1532" s="862">
        <v>45351</v>
      </c>
      <c r="C1532" s="681">
        <v>45460</v>
      </c>
      <c r="D1532" s="681"/>
      <c r="E1532" s="520" t="s">
        <v>4997</v>
      </c>
      <c r="F1532" s="513" t="s">
        <v>5107</v>
      </c>
      <c r="G1532" s="759" t="s">
        <v>4962</v>
      </c>
      <c r="H1532" s="541" t="s">
        <v>5047</v>
      </c>
      <c r="I1532" t="s">
        <v>6016</v>
      </c>
      <c r="J1532" s="686" t="s">
        <v>6017</v>
      </c>
      <c r="K1532" s="516">
        <v>58223.86</v>
      </c>
      <c r="L1532" s="543">
        <v>58.636200000000002</v>
      </c>
      <c r="M1532" s="516">
        <f t="shared" si="122"/>
        <v>992.96782533656676</v>
      </c>
      <c r="N1532" s="587">
        <v>60</v>
      </c>
      <c r="O1532" s="588">
        <f t="shared" si="123"/>
        <v>970.39766666666662</v>
      </c>
      <c r="P1532" s="682">
        <f t="shared" ca="1" si="120"/>
        <v>17</v>
      </c>
      <c r="Q1532" s="552">
        <f t="shared" ca="1" si="119"/>
        <v>41727.099666666669</v>
      </c>
      <c r="R1532" s="563">
        <f t="shared" ca="1" si="121"/>
        <v>41727.099666666669</v>
      </c>
      <c r="S1532" s="513" t="s">
        <v>4964</v>
      </c>
    </row>
    <row r="1533" spans="2:19" ht="29.25" x14ac:dyDescent="0.25">
      <c r="B1533" s="862">
        <v>45351</v>
      </c>
      <c r="C1533" s="681">
        <v>45460</v>
      </c>
      <c r="D1533" s="681"/>
      <c r="E1533" s="520" t="s">
        <v>4997</v>
      </c>
      <c r="F1533" s="513" t="s">
        <v>5108</v>
      </c>
      <c r="G1533" s="759" t="s">
        <v>4962</v>
      </c>
      <c r="H1533" s="541" t="s">
        <v>5048</v>
      </c>
      <c r="I1533" t="s">
        <v>6016</v>
      </c>
      <c r="J1533" s="686" t="s">
        <v>6017</v>
      </c>
      <c r="K1533" s="516">
        <v>58223.86</v>
      </c>
      <c r="L1533" s="543">
        <v>58.636200000000002</v>
      </c>
      <c r="M1533" s="516">
        <f t="shared" si="122"/>
        <v>992.96782533656676</v>
      </c>
      <c r="N1533" s="587">
        <v>60</v>
      </c>
      <c r="O1533" s="588">
        <f t="shared" si="123"/>
        <v>970.39766666666662</v>
      </c>
      <c r="P1533" s="682">
        <f t="shared" ca="1" si="120"/>
        <v>17</v>
      </c>
      <c r="Q1533" s="552">
        <f t="shared" ca="1" si="119"/>
        <v>41727.099666666669</v>
      </c>
      <c r="R1533" s="563">
        <f t="shared" ca="1" si="121"/>
        <v>41727.099666666669</v>
      </c>
      <c r="S1533" s="513" t="s">
        <v>4964</v>
      </c>
    </row>
    <row r="1534" spans="2:19" ht="29.25" x14ac:dyDescent="0.25">
      <c r="B1534" s="862">
        <v>45351</v>
      </c>
      <c r="C1534" s="681">
        <v>45460</v>
      </c>
      <c r="D1534" s="681"/>
      <c r="E1534" s="520" t="s">
        <v>4997</v>
      </c>
      <c r="F1534" s="513" t="s">
        <v>5109</v>
      </c>
      <c r="G1534" s="759" t="s">
        <v>4962</v>
      </c>
      <c r="H1534" s="541" t="s">
        <v>5049</v>
      </c>
      <c r="I1534" t="s">
        <v>6016</v>
      </c>
      <c r="J1534" s="686" t="s">
        <v>6017</v>
      </c>
      <c r="K1534" s="516">
        <v>58223.86</v>
      </c>
      <c r="L1534" s="543">
        <v>58.636200000000002</v>
      </c>
      <c r="M1534" s="516">
        <f t="shared" si="122"/>
        <v>992.96782533656676</v>
      </c>
      <c r="N1534" s="587">
        <v>60</v>
      </c>
      <c r="O1534" s="588">
        <f t="shared" si="123"/>
        <v>970.39766666666662</v>
      </c>
      <c r="P1534" s="682">
        <f t="shared" ca="1" si="120"/>
        <v>17</v>
      </c>
      <c r="Q1534" s="552">
        <f t="shared" ca="1" si="119"/>
        <v>41727.099666666669</v>
      </c>
      <c r="R1534" s="563">
        <f t="shared" ca="1" si="121"/>
        <v>41727.099666666669</v>
      </c>
      <c r="S1534" s="513" t="s">
        <v>4964</v>
      </c>
    </row>
    <row r="1535" spans="2:19" ht="29.25" x14ac:dyDescent="0.25">
      <c r="B1535" s="862">
        <v>45351</v>
      </c>
      <c r="C1535" s="681">
        <v>45460</v>
      </c>
      <c r="D1535" s="681"/>
      <c r="E1535" s="520" t="s">
        <v>4997</v>
      </c>
      <c r="F1535" s="513" t="s">
        <v>5110</v>
      </c>
      <c r="G1535" s="759" t="s">
        <v>4962</v>
      </c>
      <c r="H1535" s="541" t="s">
        <v>5050</v>
      </c>
      <c r="I1535" t="s">
        <v>6016</v>
      </c>
      <c r="J1535" s="686" t="s">
        <v>6017</v>
      </c>
      <c r="K1535" s="516">
        <v>58223.86</v>
      </c>
      <c r="L1535" s="543">
        <v>58.636200000000002</v>
      </c>
      <c r="M1535" s="516">
        <f t="shared" si="122"/>
        <v>992.96782533656676</v>
      </c>
      <c r="N1535" s="587">
        <v>60</v>
      </c>
      <c r="O1535" s="588">
        <f t="shared" si="123"/>
        <v>970.39766666666662</v>
      </c>
      <c r="P1535" s="682">
        <f t="shared" ca="1" si="120"/>
        <v>17</v>
      </c>
      <c r="Q1535" s="552">
        <f t="shared" ca="1" si="119"/>
        <v>41727.099666666669</v>
      </c>
      <c r="R1535" s="563">
        <f t="shared" ca="1" si="121"/>
        <v>41727.099666666669</v>
      </c>
      <c r="S1535" s="513" t="s">
        <v>4964</v>
      </c>
    </row>
    <row r="1536" spans="2:19" ht="29.25" x14ac:dyDescent="0.25">
      <c r="B1536" s="862">
        <v>45351</v>
      </c>
      <c r="C1536" s="681">
        <v>45460</v>
      </c>
      <c r="D1536" s="681"/>
      <c r="E1536" s="520" t="s">
        <v>4997</v>
      </c>
      <c r="F1536" s="513" t="s">
        <v>5111</v>
      </c>
      <c r="G1536" s="759" t="s">
        <v>4962</v>
      </c>
      <c r="H1536" s="541" t="s">
        <v>5022</v>
      </c>
      <c r="I1536" t="s">
        <v>6016</v>
      </c>
      <c r="J1536" s="686" t="s">
        <v>6017</v>
      </c>
      <c r="K1536" s="516">
        <v>58223.86</v>
      </c>
      <c r="L1536" s="543">
        <v>58.636200000000002</v>
      </c>
      <c r="M1536" s="516">
        <f t="shared" si="122"/>
        <v>992.96782533656676</v>
      </c>
      <c r="N1536" s="587">
        <v>60</v>
      </c>
      <c r="O1536" s="588">
        <f t="shared" si="123"/>
        <v>970.39766666666662</v>
      </c>
      <c r="P1536" s="682">
        <f t="shared" ca="1" si="120"/>
        <v>17</v>
      </c>
      <c r="Q1536" s="552">
        <f t="shared" ca="1" si="119"/>
        <v>41727.099666666669</v>
      </c>
      <c r="R1536" s="563">
        <f t="shared" ca="1" si="121"/>
        <v>41727.099666666669</v>
      </c>
      <c r="S1536" s="513" t="s">
        <v>4964</v>
      </c>
    </row>
    <row r="1537" spans="2:19" ht="29.25" x14ac:dyDescent="0.25">
      <c r="B1537" s="862">
        <v>45351</v>
      </c>
      <c r="C1537" s="681">
        <v>45460</v>
      </c>
      <c r="D1537" s="681"/>
      <c r="E1537" s="520" t="s">
        <v>4997</v>
      </c>
      <c r="F1537" s="513" t="s">
        <v>5112</v>
      </c>
      <c r="G1537" s="759" t="s">
        <v>4962</v>
      </c>
      <c r="H1537" s="541" t="s">
        <v>5051</v>
      </c>
      <c r="I1537" t="s">
        <v>6016</v>
      </c>
      <c r="J1537" s="686" t="s">
        <v>6017</v>
      </c>
      <c r="K1537" s="516">
        <v>58223.86</v>
      </c>
      <c r="L1537" s="543">
        <v>58.636200000000002</v>
      </c>
      <c r="M1537" s="516">
        <f t="shared" si="122"/>
        <v>992.96782533656676</v>
      </c>
      <c r="N1537" s="587">
        <v>60</v>
      </c>
      <c r="O1537" s="588">
        <f t="shared" si="123"/>
        <v>970.39766666666662</v>
      </c>
      <c r="P1537" s="682">
        <f t="shared" ca="1" si="120"/>
        <v>17</v>
      </c>
      <c r="Q1537" s="552">
        <f t="shared" ca="1" si="119"/>
        <v>41727.099666666669</v>
      </c>
      <c r="R1537" s="563">
        <f t="shared" ca="1" si="121"/>
        <v>41727.099666666669</v>
      </c>
      <c r="S1537" s="513" t="s">
        <v>4964</v>
      </c>
    </row>
    <row r="1538" spans="2:19" ht="29.25" x14ac:dyDescent="0.25">
      <c r="B1538" s="862">
        <v>45351</v>
      </c>
      <c r="C1538" s="681">
        <v>45460</v>
      </c>
      <c r="D1538" s="681"/>
      <c r="E1538" s="520" t="s">
        <v>4997</v>
      </c>
      <c r="F1538" s="513" t="s">
        <v>5113</v>
      </c>
      <c r="G1538" s="759" t="s">
        <v>4962</v>
      </c>
      <c r="H1538" s="541" t="s">
        <v>5052</v>
      </c>
      <c r="I1538" t="s">
        <v>6016</v>
      </c>
      <c r="J1538" s="686" t="s">
        <v>6017</v>
      </c>
      <c r="K1538" s="516">
        <v>58223.86</v>
      </c>
      <c r="L1538" s="543">
        <v>58.636200000000002</v>
      </c>
      <c r="M1538" s="516">
        <f t="shared" si="122"/>
        <v>992.96782533656676</v>
      </c>
      <c r="N1538" s="587">
        <v>60</v>
      </c>
      <c r="O1538" s="588">
        <f t="shared" si="123"/>
        <v>970.39766666666662</v>
      </c>
      <c r="P1538" s="682">
        <f t="shared" ca="1" si="120"/>
        <v>17</v>
      </c>
      <c r="Q1538" s="552">
        <f t="shared" ref="Q1538:Q1601" ca="1" si="124">IF(OR(K1538=0,N1538=0,P1538=0),0,K1538-(O1538*P1538))</f>
        <v>41727.099666666669</v>
      </c>
      <c r="R1538" s="563">
        <f t="shared" ca="1" si="121"/>
        <v>41727.099666666669</v>
      </c>
      <c r="S1538" s="513" t="s">
        <v>4964</v>
      </c>
    </row>
    <row r="1539" spans="2:19" ht="29.25" x14ac:dyDescent="0.25">
      <c r="B1539" s="862">
        <v>45351</v>
      </c>
      <c r="C1539" s="681">
        <v>45460</v>
      </c>
      <c r="D1539" s="681"/>
      <c r="E1539" s="520" t="s">
        <v>4997</v>
      </c>
      <c r="F1539" s="513" t="s">
        <v>5114</v>
      </c>
      <c r="G1539" s="759" t="s">
        <v>4962</v>
      </c>
      <c r="H1539" s="541" t="s">
        <v>5053</v>
      </c>
      <c r="I1539" t="s">
        <v>6016</v>
      </c>
      <c r="J1539" s="686" t="s">
        <v>6017</v>
      </c>
      <c r="K1539" s="516">
        <v>58223.86</v>
      </c>
      <c r="L1539" s="543">
        <v>58.636200000000002</v>
      </c>
      <c r="M1539" s="516">
        <f t="shared" si="122"/>
        <v>992.96782533656676</v>
      </c>
      <c r="N1539" s="587">
        <v>60</v>
      </c>
      <c r="O1539" s="588">
        <f t="shared" si="123"/>
        <v>970.39766666666662</v>
      </c>
      <c r="P1539" s="682">
        <f t="shared" ca="1" si="120"/>
        <v>17</v>
      </c>
      <c r="Q1539" s="552">
        <f t="shared" ca="1" si="124"/>
        <v>41727.099666666669</v>
      </c>
      <c r="R1539" s="563">
        <f t="shared" ca="1" si="121"/>
        <v>41727.099666666669</v>
      </c>
      <c r="S1539" s="513" t="s">
        <v>4964</v>
      </c>
    </row>
    <row r="1540" spans="2:19" ht="29.25" x14ac:dyDescent="0.25">
      <c r="B1540" s="862">
        <v>45351</v>
      </c>
      <c r="C1540" s="681">
        <v>45460</v>
      </c>
      <c r="D1540" s="681"/>
      <c r="E1540" s="520" t="s">
        <v>4997</v>
      </c>
      <c r="F1540" s="513" t="s">
        <v>5115</v>
      </c>
      <c r="G1540" s="759" t="s">
        <v>4962</v>
      </c>
      <c r="H1540" s="541" t="s">
        <v>5203</v>
      </c>
      <c r="I1540" t="s">
        <v>6016</v>
      </c>
      <c r="J1540" s="686" t="s">
        <v>6017</v>
      </c>
      <c r="K1540" s="516">
        <v>58223.86</v>
      </c>
      <c r="L1540" s="543">
        <v>58.636200000000002</v>
      </c>
      <c r="M1540" s="516">
        <f t="shared" si="122"/>
        <v>992.96782533656676</v>
      </c>
      <c r="N1540" s="587">
        <v>60</v>
      </c>
      <c r="O1540" s="588">
        <f t="shared" si="123"/>
        <v>970.39766666666662</v>
      </c>
      <c r="P1540" s="682">
        <f t="shared" ca="1" si="120"/>
        <v>17</v>
      </c>
      <c r="Q1540" s="552">
        <f t="shared" ca="1" si="124"/>
        <v>41727.099666666669</v>
      </c>
      <c r="R1540" s="563">
        <f t="shared" ca="1" si="121"/>
        <v>41727.099666666669</v>
      </c>
      <c r="S1540" s="513" t="s">
        <v>4964</v>
      </c>
    </row>
    <row r="1541" spans="2:19" ht="30" customHeight="1" x14ac:dyDescent="0.25">
      <c r="B1541" s="862">
        <v>45430</v>
      </c>
      <c r="C1541" s="683">
        <v>45462</v>
      </c>
      <c r="D1541" s="683"/>
      <c r="E1541" s="520" t="s">
        <v>5584</v>
      </c>
      <c r="F1541" s="681" t="s">
        <v>5586</v>
      </c>
      <c r="G1541" s="759" t="s">
        <v>5598</v>
      </c>
      <c r="H1541" s="541" t="s">
        <v>5602</v>
      </c>
      <c r="I1541" s="747" t="s">
        <v>2411</v>
      </c>
      <c r="J1541" s="513" t="s">
        <v>19</v>
      </c>
      <c r="K1541" s="684">
        <v>119468.26</v>
      </c>
      <c r="L1541" s="543">
        <v>58.524000000000001</v>
      </c>
      <c r="M1541" s="516">
        <f t="shared" si="122"/>
        <v>2041.3549996582597</v>
      </c>
      <c r="N1541" s="587">
        <v>60</v>
      </c>
      <c r="O1541" s="588">
        <f t="shared" si="123"/>
        <v>1991.1376666666665</v>
      </c>
      <c r="P1541" s="682">
        <f t="shared" ca="1" si="120"/>
        <v>14</v>
      </c>
      <c r="Q1541" s="552">
        <f t="shared" ca="1" si="124"/>
        <v>91592.332666666654</v>
      </c>
      <c r="R1541" s="563">
        <f t="shared" ca="1" si="121"/>
        <v>91592.332666666654</v>
      </c>
      <c r="S1541" s="513" t="s">
        <v>4964</v>
      </c>
    </row>
    <row r="1542" spans="2:19" ht="30" customHeight="1" x14ac:dyDescent="0.25">
      <c r="B1542" s="862">
        <v>45430</v>
      </c>
      <c r="C1542" s="683">
        <v>45462</v>
      </c>
      <c r="D1542" s="683"/>
      <c r="E1542" s="520" t="s">
        <v>5584</v>
      </c>
      <c r="F1542" s="681" t="s">
        <v>5590</v>
      </c>
      <c r="G1542" s="759" t="s">
        <v>5598</v>
      </c>
      <c r="H1542" s="541" t="s">
        <v>5603</v>
      </c>
      <c r="I1542" s="747" t="s">
        <v>2411</v>
      </c>
      <c r="J1542" s="513" t="s">
        <v>19</v>
      </c>
      <c r="K1542" s="684">
        <v>119468.26</v>
      </c>
      <c r="L1542" s="543">
        <v>58.524000000000001</v>
      </c>
      <c r="M1542" s="516">
        <f t="shared" si="122"/>
        <v>2041.3549996582597</v>
      </c>
      <c r="N1542" s="587">
        <v>60</v>
      </c>
      <c r="O1542" s="588">
        <f t="shared" si="123"/>
        <v>1991.1376666666665</v>
      </c>
      <c r="P1542" s="682">
        <f t="shared" ca="1" si="120"/>
        <v>14</v>
      </c>
      <c r="Q1542" s="552">
        <f t="shared" ca="1" si="124"/>
        <v>91592.332666666654</v>
      </c>
      <c r="R1542" s="563">
        <f t="shared" ca="1" si="121"/>
        <v>91592.332666666654</v>
      </c>
      <c r="S1542" s="513" t="s">
        <v>4964</v>
      </c>
    </row>
    <row r="1543" spans="2:19" ht="30" customHeight="1" x14ac:dyDescent="0.25">
      <c r="B1543" s="862">
        <v>45430</v>
      </c>
      <c r="C1543" s="683">
        <v>45462</v>
      </c>
      <c r="D1543" s="683"/>
      <c r="E1543" s="520" t="s">
        <v>5584</v>
      </c>
      <c r="F1543" s="681" t="s">
        <v>5587</v>
      </c>
      <c r="G1543" s="759" t="s">
        <v>5598</v>
      </c>
      <c r="H1543" s="541" t="s">
        <v>5604</v>
      </c>
      <c r="I1543" s="747" t="s">
        <v>2411</v>
      </c>
      <c r="J1543" s="513" t="s">
        <v>19</v>
      </c>
      <c r="K1543" s="684">
        <v>119468.26</v>
      </c>
      <c r="L1543" s="543">
        <v>58.524000000000001</v>
      </c>
      <c r="M1543" s="516">
        <f t="shared" si="122"/>
        <v>2041.3549996582597</v>
      </c>
      <c r="N1543" s="587">
        <v>60</v>
      </c>
      <c r="O1543" s="588">
        <f t="shared" si="123"/>
        <v>1991.1376666666665</v>
      </c>
      <c r="P1543" s="682">
        <f t="shared" ca="1" si="120"/>
        <v>14</v>
      </c>
      <c r="Q1543" s="552">
        <f t="shared" ca="1" si="124"/>
        <v>91592.332666666654</v>
      </c>
      <c r="R1543" s="563">
        <f t="shared" ca="1" si="121"/>
        <v>91592.332666666654</v>
      </c>
      <c r="S1543" s="513" t="s">
        <v>4964</v>
      </c>
    </row>
    <row r="1544" spans="2:19" ht="30" customHeight="1" x14ac:dyDescent="0.25">
      <c r="B1544" s="862">
        <v>45430</v>
      </c>
      <c r="C1544" s="683">
        <v>45462</v>
      </c>
      <c r="D1544" s="683"/>
      <c r="E1544" s="520" t="s">
        <v>5584</v>
      </c>
      <c r="F1544" s="681" t="s">
        <v>5591</v>
      </c>
      <c r="G1544" s="759" t="s">
        <v>5598</v>
      </c>
      <c r="H1544" s="541" t="s">
        <v>5605</v>
      </c>
      <c r="I1544" s="747" t="s">
        <v>2411</v>
      </c>
      <c r="J1544" s="513" t="s">
        <v>19</v>
      </c>
      <c r="K1544" s="684">
        <v>119468.26</v>
      </c>
      <c r="L1544" s="543">
        <v>58.524000000000001</v>
      </c>
      <c r="M1544" s="516">
        <f t="shared" si="122"/>
        <v>2041.3549996582597</v>
      </c>
      <c r="N1544" s="587">
        <v>60</v>
      </c>
      <c r="O1544" s="588">
        <f t="shared" si="123"/>
        <v>1991.1376666666665</v>
      </c>
      <c r="P1544" s="682">
        <f t="shared" ref="P1544:P1607" ca="1" si="125">IF(B1544&lt;&gt;0,(ROUND((NOW()-B1544)/30,0)),0)</f>
        <v>14</v>
      </c>
      <c r="Q1544" s="552">
        <f t="shared" ca="1" si="124"/>
        <v>91592.332666666654</v>
      </c>
      <c r="R1544" s="563">
        <f t="shared" ref="R1544:R1607" ca="1" si="126">IF(Q1544&lt;1,1,Q1544)</f>
        <v>91592.332666666654</v>
      </c>
      <c r="S1544" s="513" t="s">
        <v>4964</v>
      </c>
    </row>
    <row r="1545" spans="2:19" ht="30" customHeight="1" x14ac:dyDescent="0.25">
      <c r="B1545" s="862">
        <v>45430</v>
      </c>
      <c r="C1545" s="683">
        <v>45462</v>
      </c>
      <c r="D1545" s="683"/>
      <c r="E1545" s="520" t="s">
        <v>5584</v>
      </c>
      <c r="F1545" s="681" t="s">
        <v>5588</v>
      </c>
      <c r="G1545" s="759" t="s">
        <v>5598</v>
      </c>
      <c r="H1545" s="541" t="s">
        <v>5606</v>
      </c>
      <c r="I1545" s="747" t="s">
        <v>2411</v>
      </c>
      <c r="J1545" s="513" t="s">
        <v>19</v>
      </c>
      <c r="K1545" s="684">
        <v>119468.26</v>
      </c>
      <c r="L1545" s="543">
        <v>58.524000000000001</v>
      </c>
      <c r="M1545" s="516">
        <f t="shared" si="122"/>
        <v>2041.3549996582597</v>
      </c>
      <c r="N1545" s="587">
        <v>60</v>
      </c>
      <c r="O1545" s="588">
        <f t="shared" si="123"/>
        <v>1991.1376666666665</v>
      </c>
      <c r="P1545" s="682">
        <f t="shared" ca="1" si="125"/>
        <v>14</v>
      </c>
      <c r="Q1545" s="552">
        <f t="shared" ca="1" si="124"/>
        <v>91592.332666666654</v>
      </c>
      <c r="R1545" s="563">
        <f t="shared" ca="1" si="126"/>
        <v>91592.332666666654</v>
      </c>
      <c r="S1545" s="513" t="s">
        <v>4964</v>
      </c>
    </row>
    <row r="1546" spans="2:19" ht="30" customHeight="1" x14ac:dyDescent="0.25">
      <c r="B1546" s="862">
        <v>45430</v>
      </c>
      <c r="C1546" s="683">
        <v>45462</v>
      </c>
      <c r="D1546" s="683"/>
      <c r="E1546" s="520" t="s">
        <v>5584</v>
      </c>
      <c r="F1546" s="681" t="s">
        <v>5589</v>
      </c>
      <c r="G1546" s="759" t="s">
        <v>5598</v>
      </c>
      <c r="H1546" s="541" t="s">
        <v>5607</v>
      </c>
      <c r="I1546" s="747" t="s">
        <v>2411</v>
      </c>
      <c r="J1546" s="513" t="s">
        <v>19</v>
      </c>
      <c r="K1546" s="684">
        <v>119468.26</v>
      </c>
      <c r="L1546" s="543">
        <v>58.524000000000001</v>
      </c>
      <c r="M1546" s="516">
        <f t="shared" si="122"/>
        <v>2041.3549996582597</v>
      </c>
      <c r="N1546" s="587">
        <v>60</v>
      </c>
      <c r="O1546" s="588">
        <f t="shared" si="123"/>
        <v>1991.1376666666665</v>
      </c>
      <c r="P1546" s="682">
        <f t="shared" ca="1" si="125"/>
        <v>14</v>
      </c>
      <c r="Q1546" s="552">
        <f t="shared" ca="1" si="124"/>
        <v>91592.332666666654</v>
      </c>
      <c r="R1546" s="563">
        <f t="shared" ca="1" si="126"/>
        <v>91592.332666666654</v>
      </c>
      <c r="S1546" s="513" t="s">
        <v>4964</v>
      </c>
    </row>
    <row r="1547" spans="2:19" ht="30" customHeight="1" x14ac:dyDescent="0.25">
      <c r="B1547" s="862">
        <v>45430</v>
      </c>
      <c r="C1547" s="683">
        <v>45462</v>
      </c>
      <c r="D1547" s="683"/>
      <c r="E1547" s="520" t="s">
        <v>5584</v>
      </c>
      <c r="F1547" s="681" t="s">
        <v>5592</v>
      </c>
      <c r="G1547" s="759" t="s">
        <v>5598</v>
      </c>
      <c r="H1547" s="541" t="s">
        <v>5608</v>
      </c>
      <c r="I1547" s="747" t="s">
        <v>2411</v>
      </c>
      <c r="J1547" s="513" t="s">
        <v>19</v>
      </c>
      <c r="K1547" s="684">
        <v>119468.26</v>
      </c>
      <c r="L1547" s="543">
        <v>58.524000000000001</v>
      </c>
      <c r="M1547" s="516">
        <f t="shared" si="122"/>
        <v>2041.3549996582597</v>
      </c>
      <c r="N1547" s="587">
        <v>60</v>
      </c>
      <c r="O1547" s="588">
        <f t="shared" si="123"/>
        <v>1991.1376666666665</v>
      </c>
      <c r="P1547" s="682">
        <f t="shared" ca="1" si="125"/>
        <v>14</v>
      </c>
      <c r="Q1547" s="552">
        <f t="shared" ca="1" si="124"/>
        <v>91592.332666666654</v>
      </c>
      <c r="R1547" s="563">
        <f t="shared" ca="1" si="126"/>
        <v>91592.332666666654</v>
      </c>
      <c r="S1547" s="513" t="s">
        <v>4964</v>
      </c>
    </row>
    <row r="1548" spans="2:19" ht="30" customHeight="1" x14ac:dyDescent="0.25">
      <c r="B1548" s="862">
        <v>45430</v>
      </c>
      <c r="C1548" s="683">
        <v>45462</v>
      </c>
      <c r="D1548" s="683"/>
      <c r="E1548" s="520" t="s">
        <v>5584</v>
      </c>
      <c r="F1548" s="681" t="s">
        <v>5593</v>
      </c>
      <c r="G1548" s="759" t="s">
        <v>5598</v>
      </c>
      <c r="H1548" s="541" t="s">
        <v>5609</v>
      </c>
      <c r="I1548" s="747" t="s">
        <v>2411</v>
      </c>
      <c r="J1548" s="513" t="s">
        <v>19</v>
      </c>
      <c r="K1548" s="684">
        <v>119468.26</v>
      </c>
      <c r="L1548" s="543">
        <v>58.524000000000001</v>
      </c>
      <c r="M1548" s="516">
        <f t="shared" si="122"/>
        <v>2041.3549996582597</v>
      </c>
      <c r="N1548" s="587">
        <v>60</v>
      </c>
      <c r="O1548" s="588">
        <f t="shared" si="123"/>
        <v>1991.1376666666665</v>
      </c>
      <c r="P1548" s="682">
        <f t="shared" ca="1" si="125"/>
        <v>14</v>
      </c>
      <c r="Q1548" s="552">
        <f t="shared" ca="1" si="124"/>
        <v>91592.332666666654</v>
      </c>
      <c r="R1548" s="563">
        <f t="shared" ca="1" si="126"/>
        <v>91592.332666666654</v>
      </c>
      <c r="S1548" s="513" t="s">
        <v>4964</v>
      </c>
    </row>
    <row r="1549" spans="2:19" ht="30" customHeight="1" x14ac:dyDescent="0.25">
      <c r="B1549" s="862">
        <v>45430</v>
      </c>
      <c r="C1549" s="683">
        <v>45462</v>
      </c>
      <c r="D1549" s="683"/>
      <c r="E1549" s="520" t="s">
        <v>5584</v>
      </c>
      <c r="F1549" s="681" t="s">
        <v>5594</v>
      </c>
      <c r="G1549" s="759" t="s">
        <v>5598</v>
      </c>
      <c r="H1549" s="541" t="s">
        <v>5610</v>
      </c>
      <c r="I1549" s="747" t="s">
        <v>2411</v>
      </c>
      <c r="J1549" s="513" t="s">
        <v>19</v>
      </c>
      <c r="K1549" s="684">
        <v>119468.26</v>
      </c>
      <c r="L1549" s="543">
        <v>58.524000000000001</v>
      </c>
      <c r="M1549" s="516">
        <f t="shared" si="122"/>
        <v>2041.3549996582597</v>
      </c>
      <c r="N1549" s="587">
        <v>60</v>
      </c>
      <c r="O1549" s="588">
        <f t="shared" si="123"/>
        <v>1991.1376666666665</v>
      </c>
      <c r="P1549" s="682">
        <f t="shared" ca="1" si="125"/>
        <v>14</v>
      </c>
      <c r="Q1549" s="552">
        <f t="shared" ca="1" si="124"/>
        <v>91592.332666666654</v>
      </c>
      <c r="R1549" s="563">
        <f t="shared" ca="1" si="126"/>
        <v>91592.332666666654</v>
      </c>
      <c r="S1549" s="513" t="s">
        <v>4964</v>
      </c>
    </row>
    <row r="1550" spans="2:19" ht="30" customHeight="1" x14ac:dyDescent="0.25">
      <c r="B1550" s="862">
        <v>45430</v>
      </c>
      <c r="C1550" s="683">
        <v>45462</v>
      </c>
      <c r="D1550" s="683"/>
      <c r="E1550" s="520" t="s">
        <v>5584</v>
      </c>
      <c r="F1550" s="681" t="s">
        <v>5595</v>
      </c>
      <c r="G1550" s="759" t="s">
        <v>5598</v>
      </c>
      <c r="H1550" s="541" t="s">
        <v>5611</v>
      </c>
      <c r="I1550" s="747" t="s">
        <v>2411</v>
      </c>
      <c r="J1550" s="513" t="s">
        <v>19</v>
      </c>
      <c r="K1550" s="684">
        <v>119468.26</v>
      </c>
      <c r="L1550" s="543">
        <v>58.524000000000001</v>
      </c>
      <c r="M1550" s="516">
        <f t="shared" si="122"/>
        <v>2041.3549996582597</v>
      </c>
      <c r="N1550" s="587">
        <v>60</v>
      </c>
      <c r="O1550" s="588">
        <f t="shared" si="123"/>
        <v>1991.1376666666665</v>
      </c>
      <c r="P1550" s="682">
        <f t="shared" ca="1" si="125"/>
        <v>14</v>
      </c>
      <c r="Q1550" s="552">
        <f t="shared" ca="1" si="124"/>
        <v>91592.332666666654</v>
      </c>
      <c r="R1550" s="563">
        <f t="shared" ca="1" si="126"/>
        <v>91592.332666666654</v>
      </c>
      <c r="S1550" s="513" t="s">
        <v>4964</v>
      </c>
    </row>
    <row r="1551" spans="2:19" ht="30" customHeight="1" x14ac:dyDescent="0.25">
      <c r="B1551" s="862">
        <v>45430</v>
      </c>
      <c r="C1551" s="683">
        <v>45462</v>
      </c>
      <c r="D1551" s="683"/>
      <c r="E1551" s="520" t="s">
        <v>5584</v>
      </c>
      <c r="F1551" s="681" t="s">
        <v>5596</v>
      </c>
      <c r="G1551" s="759" t="s">
        <v>5598</v>
      </c>
      <c r="H1551" s="541" t="s">
        <v>5612</v>
      </c>
      <c r="I1551" s="747" t="s">
        <v>2411</v>
      </c>
      <c r="J1551" s="513" t="s">
        <v>19</v>
      </c>
      <c r="K1551" s="684">
        <v>119468.26</v>
      </c>
      <c r="L1551" s="543">
        <v>58.524000000000001</v>
      </c>
      <c r="M1551" s="516">
        <f t="shared" si="122"/>
        <v>2041.3549996582597</v>
      </c>
      <c r="N1551" s="587">
        <v>60</v>
      </c>
      <c r="O1551" s="588">
        <f t="shared" si="123"/>
        <v>1991.1376666666665</v>
      </c>
      <c r="P1551" s="682">
        <f t="shared" ca="1" si="125"/>
        <v>14</v>
      </c>
      <c r="Q1551" s="552">
        <f t="shared" ca="1" si="124"/>
        <v>91592.332666666654</v>
      </c>
      <c r="R1551" s="563">
        <f t="shared" ca="1" si="126"/>
        <v>91592.332666666654</v>
      </c>
      <c r="S1551" s="513" t="s">
        <v>4964</v>
      </c>
    </row>
    <row r="1552" spans="2:19" ht="30" customHeight="1" x14ac:dyDescent="0.25">
      <c r="B1552" s="862">
        <v>45430</v>
      </c>
      <c r="C1552" s="683">
        <v>45462</v>
      </c>
      <c r="D1552" s="683"/>
      <c r="E1552" s="520" t="s">
        <v>5584</v>
      </c>
      <c r="F1552" s="681" t="s">
        <v>5597</v>
      </c>
      <c r="G1552" s="759" t="s">
        <v>5598</v>
      </c>
      <c r="H1552" s="541" t="s">
        <v>5613</v>
      </c>
      <c r="I1552" s="747" t="s">
        <v>2411</v>
      </c>
      <c r="J1552" s="513" t="s">
        <v>19</v>
      </c>
      <c r="K1552" s="684">
        <v>119468.29</v>
      </c>
      <c r="L1552" s="543">
        <v>58.524000000000001</v>
      </c>
      <c r="M1552" s="516">
        <f t="shared" ref="M1552:M1615" si="127">+K1552/L1552</f>
        <v>2041.3555122684709</v>
      </c>
      <c r="N1552" s="587">
        <v>60</v>
      </c>
      <c r="O1552" s="588">
        <f t="shared" si="123"/>
        <v>1991.1381666666666</v>
      </c>
      <c r="P1552" s="682">
        <f t="shared" ca="1" si="125"/>
        <v>14</v>
      </c>
      <c r="Q1552" s="552">
        <f t="shared" ca="1" si="124"/>
        <v>91592.35566666667</v>
      </c>
      <c r="R1552" s="563">
        <f t="shared" ca="1" si="126"/>
        <v>91592.35566666667</v>
      </c>
      <c r="S1552" s="513" t="s">
        <v>4964</v>
      </c>
    </row>
    <row r="1553" spans="2:19" ht="24.95" customHeight="1" x14ac:dyDescent="0.25">
      <c r="B1553" s="862">
        <v>45430</v>
      </c>
      <c r="C1553" s="683">
        <v>45462</v>
      </c>
      <c r="D1553" s="683"/>
      <c r="E1553" s="520" t="s">
        <v>5584</v>
      </c>
      <c r="F1553" s="681" t="s">
        <v>5585</v>
      </c>
      <c r="G1553" s="759" t="s">
        <v>5600</v>
      </c>
      <c r="H1553" s="541" t="s">
        <v>5601</v>
      </c>
      <c r="I1553" s="747" t="s">
        <v>2411</v>
      </c>
      <c r="J1553" s="513" t="s">
        <v>19</v>
      </c>
      <c r="K1553" s="684">
        <v>119468.26</v>
      </c>
      <c r="L1553" s="543">
        <v>58.524000000000001</v>
      </c>
      <c r="M1553" s="516">
        <f t="shared" si="127"/>
        <v>2041.3549996582597</v>
      </c>
      <c r="N1553" s="587">
        <v>60</v>
      </c>
      <c r="O1553" s="588">
        <f t="shared" si="123"/>
        <v>1991.1376666666665</v>
      </c>
      <c r="P1553" s="682">
        <f t="shared" ca="1" si="125"/>
        <v>14</v>
      </c>
      <c r="Q1553" s="552">
        <f t="shared" ca="1" si="124"/>
        <v>91592.332666666654</v>
      </c>
      <c r="R1553" s="563">
        <f t="shared" ca="1" si="126"/>
        <v>91592.332666666654</v>
      </c>
      <c r="S1553" s="513" t="s">
        <v>4964</v>
      </c>
    </row>
    <row r="1554" spans="2:19" ht="33.75" customHeight="1" x14ac:dyDescent="0.25">
      <c r="B1554" s="862">
        <v>45497</v>
      </c>
      <c r="C1554" s="683">
        <v>45581</v>
      </c>
      <c r="D1554" s="683"/>
      <c r="E1554" s="520" t="s">
        <v>5844</v>
      </c>
      <c r="F1554" s="681" t="s">
        <v>5432</v>
      </c>
      <c r="G1554" s="759" t="s">
        <v>5845</v>
      </c>
      <c r="H1554" s="541" t="s">
        <v>5846</v>
      </c>
      <c r="I1554" s="738" t="s">
        <v>6013</v>
      </c>
      <c r="J1554" s="513" t="s">
        <v>1594</v>
      </c>
      <c r="K1554" s="684">
        <v>37207.94</v>
      </c>
      <c r="L1554" s="543">
        <v>59.050199999999997</v>
      </c>
      <c r="M1554" s="516">
        <f t="shared" si="127"/>
        <v>630.10692597146169</v>
      </c>
      <c r="N1554" s="587">
        <v>60</v>
      </c>
      <c r="O1554" s="588">
        <f t="shared" si="123"/>
        <v>620.13233333333335</v>
      </c>
      <c r="P1554" s="682">
        <f t="shared" ca="1" si="125"/>
        <v>12</v>
      </c>
      <c r="Q1554" s="552">
        <f t="shared" ca="1" si="124"/>
        <v>29766.352000000003</v>
      </c>
      <c r="R1554" s="563">
        <f t="shared" ca="1" si="126"/>
        <v>29766.352000000003</v>
      </c>
      <c r="S1554" s="513" t="s">
        <v>5876</v>
      </c>
    </row>
    <row r="1555" spans="2:19" ht="24.95" customHeight="1" x14ac:dyDescent="0.25">
      <c r="B1555" s="862">
        <v>45497</v>
      </c>
      <c r="C1555" s="683">
        <v>45581</v>
      </c>
      <c r="D1555" s="683"/>
      <c r="E1555" s="520" t="s">
        <v>5844</v>
      </c>
      <c r="F1555" s="681" t="s">
        <v>5848</v>
      </c>
      <c r="G1555" s="759" t="s">
        <v>5845</v>
      </c>
      <c r="H1555" s="541" t="s">
        <v>5862</v>
      </c>
      <c r="I1555" s="738" t="s">
        <v>6013</v>
      </c>
      <c r="J1555" s="513" t="s">
        <v>1594</v>
      </c>
      <c r="K1555" s="684">
        <v>37207.94</v>
      </c>
      <c r="L1555" s="543">
        <v>59.050199999999997</v>
      </c>
      <c r="M1555" s="516">
        <f t="shared" si="127"/>
        <v>630.10692597146169</v>
      </c>
      <c r="N1555" s="587">
        <v>60</v>
      </c>
      <c r="O1555" s="588">
        <f t="shared" si="123"/>
        <v>620.13233333333335</v>
      </c>
      <c r="P1555" s="682">
        <f t="shared" ca="1" si="125"/>
        <v>12</v>
      </c>
      <c r="Q1555" s="552">
        <f t="shared" ca="1" si="124"/>
        <v>29766.352000000003</v>
      </c>
      <c r="R1555" s="563">
        <f t="shared" ca="1" si="126"/>
        <v>29766.352000000003</v>
      </c>
      <c r="S1555" s="513" t="s">
        <v>5876</v>
      </c>
    </row>
    <row r="1556" spans="2:19" ht="24.95" customHeight="1" x14ac:dyDescent="0.25">
      <c r="B1556" s="862">
        <v>45497</v>
      </c>
      <c r="C1556" s="683">
        <v>45581</v>
      </c>
      <c r="D1556" s="683"/>
      <c r="E1556" s="520" t="s">
        <v>5844</v>
      </c>
      <c r="F1556" s="681" t="s">
        <v>5849</v>
      </c>
      <c r="G1556" s="759" t="s">
        <v>5845</v>
      </c>
      <c r="H1556" s="541" t="s">
        <v>5863</v>
      </c>
      <c r="I1556" s="738" t="s">
        <v>6013</v>
      </c>
      <c r="J1556" s="513" t="s">
        <v>1594</v>
      </c>
      <c r="K1556" s="684">
        <v>37207.94</v>
      </c>
      <c r="L1556" s="543">
        <v>59.050199999999997</v>
      </c>
      <c r="M1556" s="516">
        <f t="shared" si="127"/>
        <v>630.10692597146169</v>
      </c>
      <c r="N1556" s="587">
        <v>60</v>
      </c>
      <c r="O1556" s="588">
        <f t="shared" si="123"/>
        <v>620.13233333333335</v>
      </c>
      <c r="P1556" s="682">
        <f t="shared" ca="1" si="125"/>
        <v>12</v>
      </c>
      <c r="Q1556" s="552">
        <f t="shared" ca="1" si="124"/>
        <v>29766.352000000003</v>
      </c>
      <c r="R1556" s="563">
        <f t="shared" ca="1" si="126"/>
        <v>29766.352000000003</v>
      </c>
      <c r="S1556" s="513" t="s">
        <v>5876</v>
      </c>
    </row>
    <row r="1557" spans="2:19" ht="24.95" customHeight="1" x14ac:dyDescent="0.25">
      <c r="B1557" s="862">
        <v>45497</v>
      </c>
      <c r="C1557" s="683">
        <v>45581</v>
      </c>
      <c r="D1557" s="683"/>
      <c r="E1557" s="520" t="s">
        <v>5844</v>
      </c>
      <c r="F1557" s="681" t="s">
        <v>5850</v>
      </c>
      <c r="G1557" s="759" t="s">
        <v>5845</v>
      </c>
      <c r="H1557" s="541" t="s">
        <v>5864</v>
      </c>
      <c r="I1557" s="738" t="s">
        <v>6013</v>
      </c>
      <c r="J1557" s="513" t="s">
        <v>1594</v>
      </c>
      <c r="K1557" s="684">
        <v>37207.94</v>
      </c>
      <c r="L1557" s="543">
        <v>59.050199999999997</v>
      </c>
      <c r="M1557" s="516">
        <f t="shared" si="127"/>
        <v>630.10692597146169</v>
      </c>
      <c r="N1557" s="587">
        <v>60</v>
      </c>
      <c r="O1557" s="588">
        <f t="shared" si="123"/>
        <v>620.13233333333335</v>
      </c>
      <c r="P1557" s="682">
        <f t="shared" ca="1" si="125"/>
        <v>12</v>
      </c>
      <c r="Q1557" s="552">
        <f t="shared" ca="1" si="124"/>
        <v>29766.352000000003</v>
      </c>
      <c r="R1557" s="563">
        <f t="shared" ca="1" si="126"/>
        <v>29766.352000000003</v>
      </c>
      <c r="S1557" s="513" t="s">
        <v>5876</v>
      </c>
    </row>
    <row r="1558" spans="2:19" ht="24.95" customHeight="1" x14ac:dyDescent="0.25">
      <c r="B1558" s="862">
        <v>45497</v>
      </c>
      <c r="C1558" s="683">
        <v>45581</v>
      </c>
      <c r="D1558" s="683"/>
      <c r="E1558" s="520" t="s">
        <v>5844</v>
      </c>
      <c r="F1558" s="681" t="s">
        <v>5851</v>
      </c>
      <c r="G1558" s="759" t="s">
        <v>5845</v>
      </c>
      <c r="H1558" s="541" t="s">
        <v>5865</v>
      </c>
      <c r="I1558" s="738" t="s">
        <v>6013</v>
      </c>
      <c r="J1558" s="513" t="s">
        <v>1594</v>
      </c>
      <c r="K1558" s="684">
        <v>37207.94</v>
      </c>
      <c r="L1558" s="543">
        <v>59.050199999999997</v>
      </c>
      <c r="M1558" s="516">
        <f t="shared" si="127"/>
        <v>630.10692597146169</v>
      </c>
      <c r="N1558" s="587">
        <v>60</v>
      </c>
      <c r="O1558" s="588">
        <f t="shared" si="123"/>
        <v>620.13233333333335</v>
      </c>
      <c r="P1558" s="682">
        <f t="shared" ca="1" si="125"/>
        <v>12</v>
      </c>
      <c r="Q1558" s="552">
        <f t="shared" ca="1" si="124"/>
        <v>29766.352000000003</v>
      </c>
      <c r="R1558" s="563">
        <f t="shared" ca="1" si="126"/>
        <v>29766.352000000003</v>
      </c>
      <c r="S1558" s="513" t="s">
        <v>5876</v>
      </c>
    </row>
    <row r="1559" spans="2:19" ht="24.95" customHeight="1" x14ac:dyDescent="0.25">
      <c r="B1559" s="862">
        <v>45497</v>
      </c>
      <c r="C1559" s="683">
        <v>45581</v>
      </c>
      <c r="D1559" s="683"/>
      <c r="E1559" s="520" t="s">
        <v>5844</v>
      </c>
      <c r="F1559" s="681" t="s">
        <v>5852</v>
      </c>
      <c r="G1559" s="759" t="s">
        <v>5845</v>
      </c>
      <c r="H1559" s="541" t="s">
        <v>5866</v>
      </c>
      <c r="I1559" s="738" t="s">
        <v>6013</v>
      </c>
      <c r="J1559" s="513" t="s">
        <v>1594</v>
      </c>
      <c r="K1559" s="684">
        <v>37207.94</v>
      </c>
      <c r="L1559" s="543">
        <v>59.050199999999997</v>
      </c>
      <c r="M1559" s="516">
        <f t="shared" si="127"/>
        <v>630.10692597146169</v>
      </c>
      <c r="N1559" s="587">
        <v>60</v>
      </c>
      <c r="O1559" s="588">
        <f t="shared" si="123"/>
        <v>620.13233333333335</v>
      </c>
      <c r="P1559" s="682">
        <f t="shared" ca="1" si="125"/>
        <v>12</v>
      </c>
      <c r="Q1559" s="552">
        <f t="shared" ca="1" si="124"/>
        <v>29766.352000000003</v>
      </c>
      <c r="R1559" s="563">
        <f t="shared" ca="1" si="126"/>
        <v>29766.352000000003</v>
      </c>
      <c r="S1559" s="513" t="s">
        <v>5876</v>
      </c>
    </row>
    <row r="1560" spans="2:19" ht="24.95" customHeight="1" x14ac:dyDescent="0.25">
      <c r="B1560" s="862">
        <v>45497</v>
      </c>
      <c r="C1560" s="683">
        <v>45581</v>
      </c>
      <c r="D1560" s="683"/>
      <c r="E1560" s="520" t="s">
        <v>5844</v>
      </c>
      <c r="F1560" s="681" t="s">
        <v>5853</v>
      </c>
      <c r="G1560" s="759" t="s">
        <v>5845</v>
      </c>
      <c r="H1560" s="541" t="s">
        <v>5867</v>
      </c>
      <c r="I1560" s="738" t="s">
        <v>6013</v>
      </c>
      <c r="J1560" s="513" t="s">
        <v>1594</v>
      </c>
      <c r="K1560" s="684">
        <v>37207.94</v>
      </c>
      <c r="L1560" s="543">
        <v>59.050199999999997</v>
      </c>
      <c r="M1560" s="516">
        <f t="shared" si="127"/>
        <v>630.10692597146169</v>
      </c>
      <c r="N1560" s="587">
        <v>60</v>
      </c>
      <c r="O1560" s="588">
        <f t="shared" si="123"/>
        <v>620.13233333333335</v>
      </c>
      <c r="P1560" s="682">
        <f t="shared" ca="1" si="125"/>
        <v>12</v>
      </c>
      <c r="Q1560" s="552">
        <f t="shared" ca="1" si="124"/>
        <v>29766.352000000003</v>
      </c>
      <c r="R1560" s="563">
        <f t="shared" ca="1" si="126"/>
        <v>29766.352000000003</v>
      </c>
      <c r="S1560" s="513" t="s">
        <v>5876</v>
      </c>
    </row>
    <row r="1561" spans="2:19" ht="24.95" customHeight="1" x14ac:dyDescent="0.25">
      <c r="B1561" s="862">
        <v>45497</v>
      </c>
      <c r="C1561" s="683">
        <v>45581</v>
      </c>
      <c r="D1561" s="683"/>
      <c r="E1561" s="520" t="s">
        <v>5844</v>
      </c>
      <c r="F1561" s="681" t="s">
        <v>5854</v>
      </c>
      <c r="G1561" s="759" t="s">
        <v>5845</v>
      </c>
      <c r="H1561" s="541" t="s">
        <v>5868</v>
      </c>
      <c r="I1561" s="738" t="s">
        <v>6013</v>
      </c>
      <c r="J1561" s="513" t="s">
        <v>1594</v>
      </c>
      <c r="K1561" s="684">
        <v>37207.94</v>
      </c>
      <c r="L1561" s="543">
        <v>59.050199999999997</v>
      </c>
      <c r="M1561" s="516">
        <f t="shared" si="127"/>
        <v>630.10692597146169</v>
      </c>
      <c r="N1561" s="587">
        <v>60</v>
      </c>
      <c r="O1561" s="588">
        <f t="shared" si="123"/>
        <v>620.13233333333335</v>
      </c>
      <c r="P1561" s="682">
        <f t="shared" ca="1" si="125"/>
        <v>12</v>
      </c>
      <c r="Q1561" s="552">
        <f t="shared" ca="1" si="124"/>
        <v>29766.352000000003</v>
      </c>
      <c r="R1561" s="563">
        <f t="shared" ca="1" si="126"/>
        <v>29766.352000000003</v>
      </c>
      <c r="S1561" s="513" t="s">
        <v>5876</v>
      </c>
    </row>
    <row r="1562" spans="2:19" ht="24.95" customHeight="1" x14ac:dyDescent="0.25">
      <c r="B1562" s="862">
        <v>45497</v>
      </c>
      <c r="C1562" s="683">
        <v>45581</v>
      </c>
      <c r="D1562" s="683"/>
      <c r="E1562" s="520" t="s">
        <v>5844</v>
      </c>
      <c r="F1562" s="681" t="s">
        <v>5855</v>
      </c>
      <c r="G1562" s="759" t="s">
        <v>5845</v>
      </c>
      <c r="H1562" s="541" t="s">
        <v>5869</v>
      </c>
      <c r="I1562" s="738" t="s">
        <v>6013</v>
      </c>
      <c r="J1562" s="513" t="s">
        <v>1594</v>
      </c>
      <c r="K1562" s="684">
        <v>37207.94</v>
      </c>
      <c r="L1562" s="543">
        <v>59.050199999999997</v>
      </c>
      <c r="M1562" s="516">
        <f t="shared" si="127"/>
        <v>630.10692597146169</v>
      </c>
      <c r="N1562" s="587">
        <v>60</v>
      </c>
      <c r="O1562" s="588">
        <f t="shared" si="123"/>
        <v>620.13233333333335</v>
      </c>
      <c r="P1562" s="682">
        <f t="shared" ca="1" si="125"/>
        <v>12</v>
      </c>
      <c r="Q1562" s="552">
        <f t="shared" ca="1" si="124"/>
        <v>29766.352000000003</v>
      </c>
      <c r="R1562" s="563">
        <f t="shared" ca="1" si="126"/>
        <v>29766.352000000003</v>
      </c>
      <c r="S1562" s="513" t="s">
        <v>5876</v>
      </c>
    </row>
    <row r="1563" spans="2:19" ht="28.5" x14ac:dyDescent="0.25">
      <c r="B1563" s="862">
        <v>45497</v>
      </c>
      <c r="C1563" s="683">
        <v>45581</v>
      </c>
      <c r="D1563" s="683"/>
      <c r="E1563" s="520" t="s">
        <v>5844</v>
      </c>
      <c r="F1563" s="681" t="s">
        <v>5856</v>
      </c>
      <c r="G1563" s="759" t="s">
        <v>5845</v>
      </c>
      <c r="H1563" s="541" t="s">
        <v>5870</v>
      </c>
      <c r="I1563" s="738" t="s">
        <v>6013</v>
      </c>
      <c r="J1563" s="513" t="s">
        <v>1594</v>
      </c>
      <c r="K1563" s="684">
        <v>37207.94</v>
      </c>
      <c r="L1563" s="543">
        <v>59.050199999999997</v>
      </c>
      <c r="M1563" s="516">
        <f t="shared" si="127"/>
        <v>630.10692597146169</v>
      </c>
      <c r="N1563" s="587">
        <v>60</v>
      </c>
      <c r="O1563" s="588">
        <f t="shared" si="123"/>
        <v>620.13233333333335</v>
      </c>
      <c r="P1563" s="682">
        <f t="shared" ca="1" si="125"/>
        <v>12</v>
      </c>
      <c r="Q1563" s="552">
        <f t="shared" ca="1" si="124"/>
        <v>29766.352000000003</v>
      </c>
      <c r="R1563" s="563">
        <f t="shared" ca="1" si="126"/>
        <v>29766.352000000003</v>
      </c>
      <c r="S1563" s="513" t="s">
        <v>5876</v>
      </c>
    </row>
    <row r="1564" spans="2:19" ht="33.75" customHeight="1" x14ac:dyDescent="0.25">
      <c r="B1564" s="862">
        <v>45497</v>
      </c>
      <c r="C1564" s="683">
        <v>45581</v>
      </c>
      <c r="D1564" s="683"/>
      <c r="E1564" s="520" t="s">
        <v>5844</v>
      </c>
      <c r="F1564" s="681" t="s">
        <v>5857</v>
      </c>
      <c r="G1564" s="759" t="s">
        <v>5845</v>
      </c>
      <c r="H1564" s="541" t="s">
        <v>5871</v>
      </c>
      <c r="I1564" s="738" t="s">
        <v>6013</v>
      </c>
      <c r="J1564" s="513" t="s">
        <v>1594</v>
      </c>
      <c r="K1564" s="684">
        <v>37207.94</v>
      </c>
      <c r="L1564" s="543">
        <v>59.050199999999997</v>
      </c>
      <c r="M1564" s="516">
        <f t="shared" si="127"/>
        <v>630.10692597146169</v>
      </c>
      <c r="N1564" s="587">
        <v>60</v>
      </c>
      <c r="O1564" s="588">
        <f t="shared" si="123"/>
        <v>620.13233333333335</v>
      </c>
      <c r="P1564" s="682">
        <f t="shared" ca="1" si="125"/>
        <v>12</v>
      </c>
      <c r="Q1564" s="552">
        <f t="shared" ca="1" si="124"/>
        <v>29766.352000000003</v>
      </c>
      <c r="R1564" s="563">
        <f t="shared" ca="1" si="126"/>
        <v>29766.352000000003</v>
      </c>
      <c r="S1564" s="513" t="s">
        <v>5876</v>
      </c>
    </row>
    <row r="1565" spans="2:19" ht="33.75" customHeight="1" x14ac:dyDescent="0.25">
      <c r="B1565" s="862">
        <v>45497</v>
      </c>
      <c r="C1565" s="683">
        <v>45581</v>
      </c>
      <c r="D1565" s="683"/>
      <c r="E1565" s="520" t="s">
        <v>5844</v>
      </c>
      <c r="F1565" s="681" t="s">
        <v>5858</v>
      </c>
      <c r="G1565" s="759" t="s">
        <v>5845</v>
      </c>
      <c r="H1565" s="541" t="s">
        <v>5872</v>
      </c>
      <c r="I1565" s="738" t="s">
        <v>6013</v>
      </c>
      <c r="J1565" s="513" t="s">
        <v>1594</v>
      </c>
      <c r="K1565" s="684">
        <v>37207.94</v>
      </c>
      <c r="L1565" s="543">
        <v>59.050199999999997</v>
      </c>
      <c r="M1565" s="516">
        <f t="shared" si="127"/>
        <v>630.10692597146169</v>
      </c>
      <c r="N1565" s="587">
        <v>60</v>
      </c>
      <c r="O1565" s="588">
        <f t="shared" si="123"/>
        <v>620.13233333333335</v>
      </c>
      <c r="P1565" s="682">
        <f t="shared" ca="1" si="125"/>
        <v>12</v>
      </c>
      <c r="Q1565" s="552">
        <f t="shared" ca="1" si="124"/>
        <v>29766.352000000003</v>
      </c>
      <c r="R1565" s="563">
        <f t="shared" ca="1" si="126"/>
        <v>29766.352000000003</v>
      </c>
      <c r="S1565" s="513" t="s">
        <v>5876</v>
      </c>
    </row>
    <row r="1566" spans="2:19" ht="33.75" customHeight="1" x14ac:dyDescent="0.25">
      <c r="B1566" s="862">
        <v>45497</v>
      </c>
      <c r="C1566" s="683">
        <v>45581</v>
      </c>
      <c r="D1566" s="683"/>
      <c r="E1566" s="520" t="s">
        <v>5844</v>
      </c>
      <c r="F1566" s="681" t="s">
        <v>5859</v>
      </c>
      <c r="G1566" s="759" t="s">
        <v>5845</v>
      </c>
      <c r="H1566" s="541" t="s">
        <v>5873</v>
      </c>
      <c r="I1566" s="738" t="s">
        <v>6013</v>
      </c>
      <c r="J1566" s="513" t="s">
        <v>1594</v>
      </c>
      <c r="K1566" s="684">
        <v>37207.94</v>
      </c>
      <c r="L1566" s="543">
        <v>59.050199999999997</v>
      </c>
      <c r="M1566" s="516">
        <f t="shared" si="127"/>
        <v>630.10692597146169</v>
      </c>
      <c r="N1566" s="587">
        <v>60</v>
      </c>
      <c r="O1566" s="588">
        <f t="shared" si="123"/>
        <v>620.13233333333335</v>
      </c>
      <c r="P1566" s="682">
        <f t="shared" ca="1" si="125"/>
        <v>12</v>
      </c>
      <c r="Q1566" s="552">
        <f t="shared" ca="1" si="124"/>
        <v>29766.352000000003</v>
      </c>
      <c r="R1566" s="563">
        <f t="shared" ca="1" si="126"/>
        <v>29766.352000000003</v>
      </c>
      <c r="S1566" s="513" t="s">
        <v>5876</v>
      </c>
    </row>
    <row r="1567" spans="2:19" ht="33.75" customHeight="1" x14ac:dyDescent="0.25">
      <c r="B1567" s="862">
        <v>45497</v>
      </c>
      <c r="C1567" s="683">
        <v>45581</v>
      </c>
      <c r="D1567" s="683"/>
      <c r="E1567" s="520" t="s">
        <v>5844</v>
      </c>
      <c r="F1567" s="681" t="s">
        <v>5860</v>
      </c>
      <c r="G1567" s="759" t="s">
        <v>5845</v>
      </c>
      <c r="H1567" s="541" t="s">
        <v>5874</v>
      </c>
      <c r="I1567" s="738" t="s">
        <v>6013</v>
      </c>
      <c r="J1567" s="513" t="s">
        <v>1594</v>
      </c>
      <c r="K1567" s="684">
        <v>37207.94</v>
      </c>
      <c r="L1567" s="543">
        <v>59.050199999999997</v>
      </c>
      <c r="M1567" s="516">
        <f t="shared" si="127"/>
        <v>630.10692597146169</v>
      </c>
      <c r="N1567" s="587">
        <v>60</v>
      </c>
      <c r="O1567" s="588">
        <f t="shared" si="123"/>
        <v>620.13233333333335</v>
      </c>
      <c r="P1567" s="682">
        <f t="shared" ca="1" si="125"/>
        <v>12</v>
      </c>
      <c r="Q1567" s="552">
        <f t="shared" ca="1" si="124"/>
        <v>29766.352000000003</v>
      </c>
      <c r="R1567" s="563">
        <f t="shared" ca="1" si="126"/>
        <v>29766.352000000003</v>
      </c>
      <c r="S1567" s="513" t="s">
        <v>5876</v>
      </c>
    </row>
    <row r="1568" spans="2:19" ht="33.75" customHeight="1" x14ac:dyDescent="0.25">
      <c r="B1568" s="862">
        <v>45497</v>
      </c>
      <c r="C1568" s="683">
        <v>45581</v>
      </c>
      <c r="D1568" s="683"/>
      <c r="E1568" s="520" t="s">
        <v>5844</v>
      </c>
      <c r="F1568" s="681" t="s">
        <v>5861</v>
      </c>
      <c r="G1568" s="759" t="s">
        <v>5845</v>
      </c>
      <c r="H1568" s="541" t="s">
        <v>5875</v>
      </c>
      <c r="I1568" s="738" t="s">
        <v>6013</v>
      </c>
      <c r="J1568" s="513" t="s">
        <v>1594</v>
      </c>
      <c r="K1568" s="684">
        <v>37207.89</v>
      </c>
      <c r="L1568" s="543">
        <v>59.050199999999997</v>
      </c>
      <c r="M1568" s="516">
        <f t="shared" si="127"/>
        <v>630.1060792342787</v>
      </c>
      <c r="N1568" s="587">
        <v>60</v>
      </c>
      <c r="O1568" s="588">
        <f t="shared" si="123"/>
        <v>620.13149999999996</v>
      </c>
      <c r="P1568" s="682">
        <f t="shared" ca="1" si="125"/>
        <v>12</v>
      </c>
      <c r="Q1568" s="552">
        <f t="shared" ca="1" si="124"/>
        <v>29766.311999999998</v>
      </c>
      <c r="R1568" s="563">
        <f t="shared" ca="1" si="126"/>
        <v>29766.311999999998</v>
      </c>
      <c r="S1568" s="513" t="s">
        <v>5876</v>
      </c>
    </row>
    <row r="1569" spans="2:19" ht="57.75" customHeight="1" x14ac:dyDescent="0.25">
      <c r="B1569" s="862">
        <v>45510</v>
      </c>
      <c r="C1569" s="683">
        <v>45566</v>
      </c>
      <c r="D1569" s="683"/>
      <c r="E1569" s="520" t="s">
        <v>5847</v>
      </c>
      <c r="F1569" s="681" t="s">
        <v>5912</v>
      </c>
      <c r="G1569" s="759" t="s">
        <v>5924</v>
      </c>
      <c r="H1569" s="733">
        <v>230211503413</v>
      </c>
      <c r="I1569" s="738" t="s">
        <v>6013</v>
      </c>
      <c r="J1569" s="513" t="s">
        <v>1594</v>
      </c>
      <c r="K1569" s="684">
        <v>2531.61</v>
      </c>
      <c r="L1569" s="543">
        <v>59.375599999999999</v>
      </c>
      <c r="M1569" s="516">
        <f t="shared" si="127"/>
        <v>42.637211245023209</v>
      </c>
      <c r="N1569" s="587">
        <v>60</v>
      </c>
      <c r="O1569" s="588">
        <f t="shared" si="123"/>
        <v>42.1935</v>
      </c>
      <c r="P1569" s="682">
        <f t="shared" ca="1" si="125"/>
        <v>11</v>
      </c>
      <c r="Q1569" s="552">
        <f t="shared" ca="1" si="124"/>
        <v>2067.4814999999999</v>
      </c>
      <c r="R1569" s="563">
        <f t="shared" ca="1" si="126"/>
        <v>2067.4814999999999</v>
      </c>
      <c r="S1569" s="513" t="s">
        <v>5876</v>
      </c>
    </row>
    <row r="1570" spans="2:19" ht="60" customHeight="1" x14ac:dyDescent="0.25">
      <c r="B1570" s="862">
        <v>45510</v>
      </c>
      <c r="C1570" s="683">
        <v>45566</v>
      </c>
      <c r="D1570" s="683"/>
      <c r="E1570" s="520" t="s">
        <v>5847</v>
      </c>
      <c r="F1570" s="681" t="s">
        <v>5913</v>
      </c>
      <c r="G1570" s="759" t="s">
        <v>5924</v>
      </c>
      <c r="H1570" s="733">
        <v>230211503415</v>
      </c>
      <c r="I1570" s="738" t="s">
        <v>6013</v>
      </c>
      <c r="J1570" s="513" t="s">
        <v>1594</v>
      </c>
      <c r="K1570" s="684">
        <v>2531.61</v>
      </c>
      <c r="L1570" s="543">
        <v>59.375599999999999</v>
      </c>
      <c r="M1570" s="516">
        <f t="shared" si="127"/>
        <v>42.637211245023209</v>
      </c>
      <c r="N1570" s="587">
        <v>60</v>
      </c>
      <c r="O1570" s="588">
        <f t="shared" si="123"/>
        <v>42.1935</v>
      </c>
      <c r="P1570" s="682">
        <f t="shared" ca="1" si="125"/>
        <v>11</v>
      </c>
      <c r="Q1570" s="552">
        <f t="shared" ca="1" si="124"/>
        <v>2067.4814999999999</v>
      </c>
      <c r="R1570" s="563">
        <f t="shared" ca="1" si="126"/>
        <v>2067.4814999999999</v>
      </c>
      <c r="S1570" s="513" t="s">
        <v>5876</v>
      </c>
    </row>
    <row r="1571" spans="2:19" ht="51.95" customHeight="1" x14ac:dyDescent="0.25">
      <c r="B1571" s="862">
        <v>45510</v>
      </c>
      <c r="C1571" s="683">
        <v>45566</v>
      </c>
      <c r="D1571" s="683"/>
      <c r="E1571" s="520" t="s">
        <v>5847</v>
      </c>
      <c r="F1571" s="681" t="s">
        <v>5914</v>
      </c>
      <c r="G1571" s="759" t="s">
        <v>5924</v>
      </c>
      <c r="H1571" s="733">
        <v>230211503414</v>
      </c>
      <c r="I1571" s="738" t="s">
        <v>6013</v>
      </c>
      <c r="J1571" s="513" t="s">
        <v>1594</v>
      </c>
      <c r="K1571" s="684">
        <v>2531.61</v>
      </c>
      <c r="L1571" s="543">
        <v>59.375599999999999</v>
      </c>
      <c r="M1571" s="516">
        <f t="shared" si="127"/>
        <v>42.637211245023209</v>
      </c>
      <c r="N1571" s="587">
        <v>60</v>
      </c>
      <c r="O1571" s="588">
        <f t="shared" si="123"/>
        <v>42.1935</v>
      </c>
      <c r="P1571" s="682">
        <f t="shared" ca="1" si="125"/>
        <v>11</v>
      </c>
      <c r="Q1571" s="552">
        <f t="shared" ca="1" si="124"/>
        <v>2067.4814999999999</v>
      </c>
      <c r="R1571" s="563">
        <f t="shared" ca="1" si="126"/>
        <v>2067.4814999999999</v>
      </c>
      <c r="S1571" s="513" t="s">
        <v>5876</v>
      </c>
    </row>
    <row r="1572" spans="2:19" ht="51.95" customHeight="1" x14ac:dyDescent="0.25">
      <c r="B1572" s="862">
        <v>45510</v>
      </c>
      <c r="C1572" s="683">
        <v>45566</v>
      </c>
      <c r="D1572" s="683"/>
      <c r="E1572" s="520" t="s">
        <v>5847</v>
      </c>
      <c r="F1572" s="681" t="s">
        <v>5915</v>
      </c>
      <c r="G1572" s="759" t="s">
        <v>5924</v>
      </c>
      <c r="H1572" s="733">
        <v>230211503416</v>
      </c>
      <c r="I1572" s="738" t="s">
        <v>6013</v>
      </c>
      <c r="J1572" s="513" t="s">
        <v>1594</v>
      </c>
      <c r="K1572" s="684">
        <v>2531.61</v>
      </c>
      <c r="L1572" s="543">
        <v>59.375599999999999</v>
      </c>
      <c r="M1572" s="516">
        <f t="shared" si="127"/>
        <v>42.637211245023209</v>
      </c>
      <c r="N1572" s="587">
        <v>60</v>
      </c>
      <c r="O1572" s="588">
        <f t="shared" si="123"/>
        <v>42.1935</v>
      </c>
      <c r="P1572" s="682">
        <f t="shared" ca="1" si="125"/>
        <v>11</v>
      </c>
      <c r="Q1572" s="552">
        <f t="shared" ca="1" si="124"/>
        <v>2067.4814999999999</v>
      </c>
      <c r="R1572" s="563">
        <f t="shared" ca="1" si="126"/>
        <v>2067.4814999999999</v>
      </c>
      <c r="S1572" s="513" t="s">
        <v>5876</v>
      </c>
    </row>
    <row r="1573" spans="2:19" ht="51.95" customHeight="1" x14ac:dyDescent="0.25">
      <c r="B1573" s="862">
        <v>45510</v>
      </c>
      <c r="C1573" s="683">
        <v>45566</v>
      </c>
      <c r="D1573" s="683"/>
      <c r="E1573" s="520" t="s">
        <v>5847</v>
      </c>
      <c r="F1573" s="681" t="s">
        <v>5916</v>
      </c>
      <c r="G1573" s="759" t="s">
        <v>5924</v>
      </c>
      <c r="H1573" s="733">
        <v>230211501993</v>
      </c>
      <c r="I1573" s="738" t="s">
        <v>6013</v>
      </c>
      <c r="J1573" s="513" t="s">
        <v>1594</v>
      </c>
      <c r="K1573" s="684">
        <v>2531.61</v>
      </c>
      <c r="L1573" s="543">
        <v>59.375599999999999</v>
      </c>
      <c r="M1573" s="516">
        <f t="shared" si="127"/>
        <v>42.637211245023209</v>
      </c>
      <c r="N1573" s="587">
        <v>60</v>
      </c>
      <c r="O1573" s="588">
        <f t="shared" si="123"/>
        <v>42.1935</v>
      </c>
      <c r="P1573" s="682">
        <f t="shared" ca="1" si="125"/>
        <v>11</v>
      </c>
      <c r="Q1573" s="552">
        <f t="shared" ca="1" si="124"/>
        <v>2067.4814999999999</v>
      </c>
      <c r="R1573" s="563">
        <f t="shared" ca="1" si="126"/>
        <v>2067.4814999999999</v>
      </c>
      <c r="S1573" s="513" t="s">
        <v>5876</v>
      </c>
    </row>
    <row r="1574" spans="2:19" ht="51.95" customHeight="1" x14ac:dyDescent="0.25">
      <c r="B1574" s="862">
        <v>45510</v>
      </c>
      <c r="C1574" s="683">
        <v>45566</v>
      </c>
      <c r="D1574" s="683"/>
      <c r="E1574" s="520" t="s">
        <v>5847</v>
      </c>
      <c r="F1574" s="681" t="s">
        <v>5917</v>
      </c>
      <c r="G1574" s="759" t="s">
        <v>5924</v>
      </c>
      <c r="H1574" s="733">
        <v>230211501994</v>
      </c>
      <c r="I1574" s="738" t="s">
        <v>6013</v>
      </c>
      <c r="J1574" s="513" t="s">
        <v>1594</v>
      </c>
      <c r="K1574" s="684">
        <v>2531.61</v>
      </c>
      <c r="L1574" s="543">
        <v>59.375599999999999</v>
      </c>
      <c r="M1574" s="516">
        <f t="shared" si="127"/>
        <v>42.637211245023209</v>
      </c>
      <c r="N1574" s="587">
        <v>60</v>
      </c>
      <c r="O1574" s="588">
        <f t="shared" si="123"/>
        <v>42.1935</v>
      </c>
      <c r="P1574" s="682">
        <f t="shared" ca="1" si="125"/>
        <v>11</v>
      </c>
      <c r="Q1574" s="552">
        <f t="shared" ca="1" si="124"/>
        <v>2067.4814999999999</v>
      </c>
      <c r="R1574" s="563">
        <f t="shared" ca="1" si="126"/>
        <v>2067.4814999999999</v>
      </c>
      <c r="S1574" s="513" t="s">
        <v>5876</v>
      </c>
    </row>
    <row r="1575" spans="2:19" ht="51.95" customHeight="1" x14ac:dyDescent="0.25">
      <c r="B1575" s="862">
        <v>45510</v>
      </c>
      <c r="C1575" s="683">
        <v>45566</v>
      </c>
      <c r="D1575" s="683"/>
      <c r="E1575" s="520" t="s">
        <v>5847</v>
      </c>
      <c r="F1575" s="681" t="s">
        <v>5918</v>
      </c>
      <c r="G1575" s="759" t="s">
        <v>5924</v>
      </c>
      <c r="H1575" s="733">
        <v>230211501995</v>
      </c>
      <c r="I1575" s="738" t="s">
        <v>6013</v>
      </c>
      <c r="J1575" s="513" t="s">
        <v>1594</v>
      </c>
      <c r="K1575" s="684">
        <v>2531.61</v>
      </c>
      <c r="L1575" s="543">
        <v>59.375599999999999</v>
      </c>
      <c r="M1575" s="516">
        <f t="shared" si="127"/>
        <v>42.637211245023209</v>
      </c>
      <c r="N1575" s="587">
        <v>60</v>
      </c>
      <c r="O1575" s="588">
        <f t="shared" si="123"/>
        <v>42.1935</v>
      </c>
      <c r="P1575" s="682">
        <f t="shared" ca="1" si="125"/>
        <v>11</v>
      </c>
      <c r="Q1575" s="552">
        <f t="shared" ca="1" si="124"/>
        <v>2067.4814999999999</v>
      </c>
      <c r="R1575" s="563">
        <f t="shared" ca="1" si="126"/>
        <v>2067.4814999999999</v>
      </c>
      <c r="S1575" s="513" t="s">
        <v>5876</v>
      </c>
    </row>
    <row r="1576" spans="2:19" ht="51.95" customHeight="1" x14ac:dyDescent="0.25">
      <c r="B1576" s="862">
        <v>45510</v>
      </c>
      <c r="C1576" s="683">
        <v>45566</v>
      </c>
      <c r="D1576" s="683"/>
      <c r="E1576" s="520" t="s">
        <v>5847</v>
      </c>
      <c r="F1576" s="681" t="s">
        <v>5919</v>
      </c>
      <c r="G1576" s="759" t="s">
        <v>5924</v>
      </c>
      <c r="H1576" s="733">
        <v>230211501996</v>
      </c>
      <c r="I1576" s="738" t="s">
        <v>6013</v>
      </c>
      <c r="J1576" s="513" t="s">
        <v>1594</v>
      </c>
      <c r="K1576" s="684">
        <v>2531.61</v>
      </c>
      <c r="L1576" s="543">
        <v>59.375599999999999</v>
      </c>
      <c r="M1576" s="516">
        <f t="shared" si="127"/>
        <v>42.637211245023209</v>
      </c>
      <c r="N1576" s="587">
        <v>60</v>
      </c>
      <c r="O1576" s="588">
        <f t="shared" si="123"/>
        <v>42.1935</v>
      </c>
      <c r="P1576" s="682">
        <f t="shared" ca="1" si="125"/>
        <v>11</v>
      </c>
      <c r="Q1576" s="552">
        <f t="shared" ca="1" si="124"/>
        <v>2067.4814999999999</v>
      </c>
      <c r="R1576" s="563">
        <f t="shared" ca="1" si="126"/>
        <v>2067.4814999999999</v>
      </c>
      <c r="S1576" s="513" t="s">
        <v>5876</v>
      </c>
    </row>
    <row r="1577" spans="2:19" ht="51.95" customHeight="1" x14ac:dyDescent="0.25">
      <c r="B1577" s="862">
        <v>45510</v>
      </c>
      <c r="C1577" s="683">
        <v>45566</v>
      </c>
      <c r="D1577" s="683"/>
      <c r="E1577" s="520" t="s">
        <v>5847</v>
      </c>
      <c r="F1577" s="681" t="s">
        <v>5884</v>
      </c>
      <c r="G1577" s="759" t="s">
        <v>5924</v>
      </c>
      <c r="H1577" s="733">
        <v>230211500626</v>
      </c>
      <c r="I1577" s="738" t="s">
        <v>6013</v>
      </c>
      <c r="J1577" s="513" t="s">
        <v>1594</v>
      </c>
      <c r="K1577" s="684">
        <v>2531.61</v>
      </c>
      <c r="L1577" s="543">
        <v>59.375599999999999</v>
      </c>
      <c r="M1577" s="516">
        <f t="shared" si="127"/>
        <v>42.637211245023209</v>
      </c>
      <c r="N1577" s="587">
        <v>60</v>
      </c>
      <c r="O1577" s="588">
        <f t="shared" si="123"/>
        <v>42.1935</v>
      </c>
      <c r="P1577" s="682">
        <f t="shared" ca="1" si="125"/>
        <v>11</v>
      </c>
      <c r="Q1577" s="552">
        <f t="shared" ca="1" si="124"/>
        <v>2067.4814999999999</v>
      </c>
      <c r="R1577" s="563">
        <f t="shared" ca="1" si="126"/>
        <v>2067.4814999999999</v>
      </c>
      <c r="S1577" s="513" t="s">
        <v>5876</v>
      </c>
    </row>
    <row r="1578" spans="2:19" ht="51.95" customHeight="1" x14ac:dyDescent="0.25">
      <c r="B1578" s="862">
        <v>45510</v>
      </c>
      <c r="C1578" s="683">
        <v>45566</v>
      </c>
      <c r="D1578" s="683"/>
      <c r="E1578" s="520" t="s">
        <v>5847</v>
      </c>
      <c r="F1578" s="681" t="s">
        <v>5886</v>
      </c>
      <c r="G1578" s="759" t="s">
        <v>5924</v>
      </c>
      <c r="H1578" s="733">
        <v>230211500628</v>
      </c>
      <c r="I1578" s="738" t="s">
        <v>6013</v>
      </c>
      <c r="J1578" s="513" t="s">
        <v>1594</v>
      </c>
      <c r="K1578" s="684">
        <v>2531.61</v>
      </c>
      <c r="L1578" s="543">
        <v>59.375599999999999</v>
      </c>
      <c r="M1578" s="516">
        <f t="shared" si="127"/>
        <v>42.637211245023209</v>
      </c>
      <c r="N1578" s="587">
        <v>60</v>
      </c>
      <c r="O1578" s="588">
        <f t="shared" si="123"/>
        <v>42.1935</v>
      </c>
      <c r="P1578" s="682">
        <f t="shared" ca="1" si="125"/>
        <v>11</v>
      </c>
      <c r="Q1578" s="552">
        <f t="shared" ca="1" si="124"/>
        <v>2067.4814999999999</v>
      </c>
      <c r="R1578" s="563">
        <f t="shared" ca="1" si="126"/>
        <v>2067.4814999999999</v>
      </c>
      <c r="S1578" s="513" t="s">
        <v>5876</v>
      </c>
    </row>
    <row r="1579" spans="2:19" ht="51.95" customHeight="1" x14ac:dyDescent="0.25">
      <c r="B1579" s="862">
        <v>45510</v>
      </c>
      <c r="C1579" s="683">
        <v>45566</v>
      </c>
      <c r="D1579" s="683"/>
      <c r="E1579" s="520" t="s">
        <v>5847</v>
      </c>
      <c r="F1579" s="681" t="s">
        <v>5920</v>
      </c>
      <c r="G1579" s="759" t="s">
        <v>5924</v>
      </c>
      <c r="H1579" s="733">
        <v>230211500627</v>
      </c>
      <c r="I1579" s="738" t="s">
        <v>6013</v>
      </c>
      <c r="J1579" s="513" t="s">
        <v>1594</v>
      </c>
      <c r="K1579" s="684">
        <v>2531.61</v>
      </c>
      <c r="L1579" s="543">
        <v>59.375599999999999</v>
      </c>
      <c r="M1579" s="516">
        <f t="shared" si="127"/>
        <v>42.637211245023209</v>
      </c>
      <c r="N1579" s="587">
        <v>60</v>
      </c>
      <c r="O1579" s="588">
        <f t="shared" si="123"/>
        <v>42.1935</v>
      </c>
      <c r="P1579" s="682">
        <f t="shared" ca="1" si="125"/>
        <v>11</v>
      </c>
      <c r="Q1579" s="552">
        <f t="shared" ca="1" si="124"/>
        <v>2067.4814999999999</v>
      </c>
      <c r="R1579" s="563">
        <f t="shared" ca="1" si="126"/>
        <v>2067.4814999999999</v>
      </c>
      <c r="S1579" s="513" t="s">
        <v>5876</v>
      </c>
    </row>
    <row r="1580" spans="2:19" ht="51.95" customHeight="1" x14ac:dyDescent="0.25">
      <c r="B1580" s="862">
        <v>45510</v>
      </c>
      <c r="C1580" s="683">
        <v>45566</v>
      </c>
      <c r="D1580" s="683"/>
      <c r="E1580" s="520" t="s">
        <v>5847</v>
      </c>
      <c r="F1580" s="734" t="s">
        <v>5885</v>
      </c>
      <c r="G1580" s="759" t="s">
        <v>5924</v>
      </c>
      <c r="H1580" s="733">
        <v>230211500625</v>
      </c>
      <c r="I1580" s="738" t="s">
        <v>6013</v>
      </c>
      <c r="J1580" s="513" t="s">
        <v>1594</v>
      </c>
      <c r="K1580" s="684">
        <v>2531.61</v>
      </c>
      <c r="L1580" s="543">
        <v>59.375599999999999</v>
      </c>
      <c r="M1580" s="516">
        <f t="shared" si="127"/>
        <v>42.637211245023209</v>
      </c>
      <c r="N1580" s="587">
        <v>60</v>
      </c>
      <c r="O1580" s="588">
        <f t="shared" si="123"/>
        <v>42.1935</v>
      </c>
      <c r="P1580" s="682">
        <f t="shared" ca="1" si="125"/>
        <v>11</v>
      </c>
      <c r="Q1580" s="552">
        <f t="shared" ca="1" si="124"/>
        <v>2067.4814999999999</v>
      </c>
      <c r="R1580" s="563">
        <f t="shared" ca="1" si="126"/>
        <v>2067.4814999999999</v>
      </c>
      <c r="S1580" s="513" t="s">
        <v>5876</v>
      </c>
    </row>
    <row r="1581" spans="2:19" ht="51.95" customHeight="1" x14ac:dyDescent="0.25">
      <c r="B1581" s="862">
        <v>45510</v>
      </c>
      <c r="C1581" s="683">
        <v>45566</v>
      </c>
      <c r="D1581" s="683"/>
      <c r="E1581" s="520" t="s">
        <v>5847</v>
      </c>
      <c r="F1581" s="734" t="s">
        <v>5921</v>
      </c>
      <c r="G1581" s="759" t="s">
        <v>5924</v>
      </c>
      <c r="H1581" s="733">
        <v>230211503467</v>
      </c>
      <c r="I1581" s="738" t="s">
        <v>6013</v>
      </c>
      <c r="J1581" s="513" t="s">
        <v>1594</v>
      </c>
      <c r="K1581" s="684">
        <v>2531.61</v>
      </c>
      <c r="L1581" s="543">
        <v>59.375599999999999</v>
      </c>
      <c r="M1581" s="516">
        <f t="shared" si="127"/>
        <v>42.637211245023209</v>
      </c>
      <c r="N1581" s="587">
        <v>60</v>
      </c>
      <c r="O1581" s="588">
        <f t="shared" si="123"/>
        <v>42.1935</v>
      </c>
      <c r="P1581" s="682">
        <f t="shared" ca="1" si="125"/>
        <v>11</v>
      </c>
      <c r="Q1581" s="552">
        <f t="shared" ca="1" si="124"/>
        <v>2067.4814999999999</v>
      </c>
      <c r="R1581" s="563">
        <f t="shared" ca="1" si="126"/>
        <v>2067.4814999999999</v>
      </c>
      <c r="S1581" s="513" t="s">
        <v>5876</v>
      </c>
    </row>
    <row r="1582" spans="2:19" ht="60.75" customHeight="1" x14ac:dyDescent="0.25">
      <c r="B1582" s="862">
        <v>45510</v>
      </c>
      <c r="C1582" s="683">
        <v>45566</v>
      </c>
      <c r="D1582" s="683"/>
      <c r="E1582" s="520" t="s">
        <v>5847</v>
      </c>
      <c r="F1582" s="734" t="s">
        <v>5922</v>
      </c>
      <c r="G1582" s="759" t="s">
        <v>5924</v>
      </c>
      <c r="H1582" s="733">
        <v>230211500726</v>
      </c>
      <c r="I1582" s="738" t="s">
        <v>6013</v>
      </c>
      <c r="J1582" s="513" t="s">
        <v>1594</v>
      </c>
      <c r="K1582" s="684">
        <v>2531.61</v>
      </c>
      <c r="L1582" s="543">
        <v>59.375599999999999</v>
      </c>
      <c r="M1582" s="516">
        <f t="shared" si="127"/>
        <v>42.637211245023209</v>
      </c>
      <c r="N1582" s="587">
        <v>60</v>
      </c>
      <c r="O1582" s="588">
        <f t="shared" si="123"/>
        <v>42.1935</v>
      </c>
      <c r="P1582" s="682">
        <f t="shared" ca="1" si="125"/>
        <v>11</v>
      </c>
      <c r="Q1582" s="552">
        <f t="shared" ca="1" si="124"/>
        <v>2067.4814999999999</v>
      </c>
      <c r="R1582" s="563">
        <f t="shared" ca="1" si="126"/>
        <v>2067.4814999999999</v>
      </c>
      <c r="S1582" s="513" t="s">
        <v>5876</v>
      </c>
    </row>
    <row r="1583" spans="2:19" ht="57.75" customHeight="1" x14ac:dyDescent="0.25">
      <c r="B1583" s="862">
        <v>45510</v>
      </c>
      <c r="C1583" s="683">
        <v>45566</v>
      </c>
      <c r="D1583" s="683"/>
      <c r="E1583" s="520" t="s">
        <v>5847</v>
      </c>
      <c r="F1583" s="734" t="s">
        <v>5923</v>
      </c>
      <c r="G1583" s="759" t="s">
        <v>5924</v>
      </c>
      <c r="H1583" s="733">
        <v>230211500725</v>
      </c>
      <c r="I1583" s="738" t="s">
        <v>6013</v>
      </c>
      <c r="J1583" s="513" t="s">
        <v>1594</v>
      </c>
      <c r="K1583" s="684">
        <v>2531.61</v>
      </c>
      <c r="L1583" s="543">
        <v>59.375599999999999</v>
      </c>
      <c r="M1583" s="516">
        <f t="shared" si="127"/>
        <v>42.637211245023209</v>
      </c>
      <c r="N1583" s="587">
        <v>60</v>
      </c>
      <c r="O1583" s="588">
        <f t="shared" si="123"/>
        <v>42.1935</v>
      </c>
      <c r="P1583" s="682">
        <f t="shared" ca="1" si="125"/>
        <v>11</v>
      </c>
      <c r="Q1583" s="552">
        <f t="shared" ca="1" si="124"/>
        <v>2067.4814999999999</v>
      </c>
      <c r="R1583" s="563">
        <f t="shared" ca="1" si="126"/>
        <v>2067.4814999999999</v>
      </c>
      <c r="S1583" s="513" t="s">
        <v>5876</v>
      </c>
    </row>
    <row r="1584" spans="2:19" ht="57.75" customHeight="1" x14ac:dyDescent="0.25">
      <c r="B1584" s="863">
        <v>45510</v>
      </c>
      <c r="C1584" s="796" t="s">
        <v>28</v>
      </c>
      <c r="D1584" s="796"/>
      <c r="E1584" s="797" t="s">
        <v>5847</v>
      </c>
      <c r="F1584" s="798" t="s">
        <v>5993</v>
      </c>
      <c r="G1584" s="799" t="s">
        <v>5925</v>
      </c>
      <c r="H1584" s="800" t="s">
        <v>5926</v>
      </c>
      <c r="I1584" s="801" t="s">
        <v>2411</v>
      </c>
      <c r="J1584" s="802" t="s">
        <v>19</v>
      </c>
      <c r="K1584" s="803">
        <v>17899.93</v>
      </c>
      <c r="L1584" s="804">
        <v>59.375599999999999</v>
      </c>
      <c r="M1584" s="605">
        <f t="shared" si="127"/>
        <v>301.46945883494232</v>
      </c>
      <c r="N1584" s="805">
        <v>60</v>
      </c>
      <c r="O1584" s="806">
        <f t="shared" si="123"/>
        <v>298.33216666666669</v>
      </c>
      <c r="P1584" s="807">
        <f t="shared" ca="1" si="125"/>
        <v>11</v>
      </c>
      <c r="Q1584" s="808">
        <f t="shared" ca="1" si="124"/>
        <v>14618.276166666667</v>
      </c>
      <c r="R1584" s="809">
        <f t="shared" ca="1" si="126"/>
        <v>14618.276166666667</v>
      </c>
      <c r="S1584" s="810" t="s">
        <v>5876</v>
      </c>
    </row>
    <row r="1585" spans="2:19" ht="57.75" customHeight="1" x14ac:dyDescent="0.25">
      <c r="B1585" s="862">
        <v>45510</v>
      </c>
      <c r="C1585" s="683">
        <v>45566</v>
      </c>
      <c r="D1585" s="683"/>
      <c r="E1585" s="520" t="s">
        <v>5847</v>
      </c>
      <c r="F1585" s="681" t="s">
        <v>5877</v>
      </c>
      <c r="G1585" s="759" t="s">
        <v>5894</v>
      </c>
      <c r="H1585" s="541" t="s">
        <v>5895</v>
      </c>
      <c r="I1585" s="738" t="s">
        <v>6013</v>
      </c>
      <c r="J1585" s="513" t="s">
        <v>1594</v>
      </c>
      <c r="K1585" s="684">
        <v>62862.98</v>
      </c>
      <c r="L1585" s="543">
        <v>59.375599999999999</v>
      </c>
      <c r="M1585" s="516">
        <f t="shared" si="127"/>
        <v>1058.7342275278061</v>
      </c>
      <c r="N1585" s="587">
        <v>60</v>
      </c>
      <c r="O1585" s="588">
        <f t="shared" si="123"/>
        <v>1047.7163333333333</v>
      </c>
      <c r="P1585" s="682">
        <f t="shared" ca="1" si="125"/>
        <v>11</v>
      </c>
      <c r="Q1585" s="552">
        <f t="shared" ca="1" si="124"/>
        <v>51338.100333333336</v>
      </c>
      <c r="R1585" s="563">
        <f t="shared" ca="1" si="126"/>
        <v>51338.100333333336</v>
      </c>
      <c r="S1585" s="513" t="s">
        <v>5876</v>
      </c>
    </row>
    <row r="1586" spans="2:19" ht="57.75" customHeight="1" x14ac:dyDescent="0.25">
      <c r="B1586" s="862">
        <v>45510</v>
      </c>
      <c r="C1586" s="683">
        <v>45566</v>
      </c>
      <c r="D1586" s="683"/>
      <c r="E1586" s="520" t="s">
        <v>5847</v>
      </c>
      <c r="F1586" s="681" t="s">
        <v>5878</v>
      </c>
      <c r="G1586" s="759" t="s">
        <v>5894</v>
      </c>
      <c r="H1586" s="541" t="s">
        <v>5907</v>
      </c>
      <c r="I1586" s="738" t="s">
        <v>6013</v>
      </c>
      <c r="J1586" s="513" t="s">
        <v>1594</v>
      </c>
      <c r="K1586" s="684">
        <v>62862.98</v>
      </c>
      <c r="L1586" s="543">
        <v>59.375599999999999</v>
      </c>
      <c r="M1586" s="516">
        <f t="shared" si="127"/>
        <v>1058.7342275278061</v>
      </c>
      <c r="N1586" s="587">
        <v>60</v>
      </c>
      <c r="O1586" s="588">
        <f t="shared" si="123"/>
        <v>1047.7163333333333</v>
      </c>
      <c r="P1586" s="682">
        <f t="shared" ca="1" si="125"/>
        <v>11</v>
      </c>
      <c r="Q1586" s="552">
        <f t="shared" ca="1" si="124"/>
        <v>51338.100333333336</v>
      </c>
      <c r="R1586" s="563">
        <f t="shared" ca="1" si="126"/>
        <v>51338.100333333336</v>
      </c>
      <c r="S1586" s="513" t="s">
        <v>5876</v>
      </c>
    </row>
    <row r="1587" spans="2:19" ht="57.75" customHeight="1" x14ac:dyDescent="0.25">
      <c r="B1587" s="862">
        <v>45510</v>
      </c>
      <c r="C1587" s="683">
        <v>45566</v>
      </c>
      <c r="D1587" s="683"/>
      <c r="E1587" s="520" t="s">
        <v>5847</v>
      </c>
      <c r="F1587" s="681" t="s">
        <v>5879</v>
      </c>
      <c r="G1587" s="759" t="s">
        <v>5894</v>
      </c>
      <c r="H1587" s="541" t="s">
        <v>5908</v>
      </c>
      <c r="I1587" s="738" t="s">
        <v>6013</v>
      </c>
      <c r="J1587" s="513" t="s">
        <v>1594</v>
      </c>
      <c r="K1587" s="684">
        <v>62862.98</v>
      </c>
      <c r="L1587" s="543">
        <v>59.375599999999999</v>
      </c>
      <c r="M1587" s="516">
        <f t="shared" si="127"/>
        <v>1058.7342275278061</v>
      </c>
      <c r="N1587" s="587">
        <v>60</v>
      </c>
      <c r="O1587" s="588">
        <f t="shared" si="123"/>
        <v>1047.7163333333333</v>
      </c>
      <c r="P1587" s="682">
        <f t="shared" ca="1" si="125"/>
        <v>11</v>
      </c>
      <c r="Q1587" s="552">
        <f t="shared" ca="1" si="124"/>
        <v>51338.100333333336</v>
      </c>
      <c r="R1587" s="563">
        <f t="shared" ca="1" si="126"/>
        <v>51338.100333333336</v>
      </c>
      <c r="S1587" s="513" t="s">
        <v>5876</v>
      </c>
    </row>
    <row r="1588" spans="2:19" ht="57.75" customHeight="1" x14ac:dyDescent="0.25">
      <c r="B1588" s="862">
        <v>45510</v>
      </c>
      <c r="C1588" s="683">
        <v>45566</v>
      </c>
      <c r="D1588" s="683"/>
      <c r="E1588" s="520" t="s">
        <v>5847</v>
      </c>
      <c r="F1588" s="681" t="s">
        <v>5880</v>
      </c>
      <c r="G1588" s="759" t="s">
        <v>5894</v>
      </c>
      <c r="H1588" s="541" t="s">
        <v>5909</v>
      </c>
      <c r="I1588" s="738" t="s">
        <v>6013</v>
      </c>
      <c r="J1588" s="513" t="s">
        <v>1594</v>
      </c>
      <c r="K1588" s="684">
        <v>62862.98</v>
      </c>
      <c r="L1588" s="543">
        <v>59.375599999999999</v>
      </c>
      <c r="M1588" s="516">
        <f t="shared" si="127"/>
        <v>1058.7342275278061</v>
      </c>
      <c r="N1588" s="587">
        <v>60</v>
      </c>
      <c r="O1588" s="588">
        <f t="shared" si="123"/>
        <v>1047.7163333333333</v>
      </c>
      <c r="P1588" s="682">
        <f t="shared" ca="1" si="125"/>
        <v>11</v>
      </c>
      <c r="Q1588" s="552">
        <f t="shared" ca="1" si="124"/>
        <v>51338.100333333336</v>
      </c>
      <c r="R1588" s="563">
        <f t="shared" ca="1" si="126"/>
        <v>51338.100333333336</v>
      </c>
      <c r="S1588" s="513" t="s">
        <v>5876</v>
      </c>
    </row>
    <row r="1589" spans="2:19" ht="57.75" customHeight="1" x14ac:dyDescent="0.25">
      <c r="B1589" s="862">
        <v>45510</v>
      </c>
      <c r="C1589" s="683">
        <v>45566</v>
      </c>
      <c r="D1589" s="683"/>
      <c r="E1589" s="520" t="s">
        <v>5847</v>
      </c>
      <c r="F1589" s="681" t="s">
        <v>5881</v>
      </c>
      <c r="G1589" s="759" t="s">
        <v>5894</v>
      </c>
      <c r="H1589" s="541" t="s">
        <v>5896</v>
      </c>
      <c r="I1589" s="738" t="s">
        <v>6013</v>
      </c>
      <c r="J1589" s="513" t="s">
        <v>1594</v>
      </c>
      <c r="K1589" s="684">
        <v>62862.98</v>
      </c>
      <c r="L1589" s="543">
        <v>59.375599999999999</v>
      </c>
      <c r="M1589" s="516">
        <f t="shared" si="127"/>
        <v>1058.7342275278061</v>
      </c>
      <c r="N1589" s="587">
        <v>60</v>
      </c>
      <c r="O1589" s="588">
        <f t="shared" ref="O1589:O1652" si="128">+K1589/N1589</f>
        <v>1047.7163333333333</v>
      </c>
      <c r="P1589" s="682">
        <f t="shared" ca="1" si="125"/>
        <v>11</v>
      </c>
      <c r="Q1589" s="552">
        <f t="shared" ca="1" si="124"/>
        <v>51338.100333333336</v>
      </c>
      <c r="R1589" s="563">
        <f t="shared" ca="1" si="126"/>
        <v>51338.100333333336</v>
      </c>
      <c r="S1589" s="513" t="s">
        <v>5876</v>
      </c>
    </row>
    <row r="1590" spans="2:19" ht="57.75" customHeight="1" x14ac:dyDescent="0.25">
      <c r="B1590" s="862">
        <v>45510</v>
      </c>
      <c r="C1590" s="683">
        <v>45566</v>
      </c>
      <c r="D1590" s="683"/>
      <c r="E1590" s="520" t="s">
        <v>5847</v>
      </c>
      <c r="F1590" s="681" t="s">
        <v>5882</v>
      </c>
      <c r="G1590" s="759" t="s">
        <v>5894</v>
      </c>
      <c r="H1590" s="541" t="s">
        <v>5897</v>
      </c>
      <c r="I1590" s="738" t="s">
        <v>6013</v>
      </c>
      <c r="J1590" s="513" t="s">
        <v>1594</v>
      </c>
      <c r="K1590" s="684">
        <v>62862.98</v>
      </c>
      <c r="L1590" s="543">
        <v>59.375599999999999</v>
      </c>
      <c r="M1590" s="516">
        <f t="shared" si="127"/>
        <v>1058.7342275278061</v>
      </c>
      <c r="N1590" s="587">
        <v>60</v>
      </c>
      <c r="O1590" s="588">
        <f t="shared" si="128"/>
        <v>1047.7163333333333</v>
      </c>
      <c r="P1590" s="682">
        <f t="shared" ca="1" si="125"/>
        <v>11</v>
      </c>
      <c r="Q1590" s="552">
        <f t="shared" ca="1" si="124"/>
        <v>51338.100333333336</v>
      </c>
      <c r="R1590" s="563">
        <f t="shared" ca="1" si="126"/>
        <v>51338.100333333336</v>
      </c>
      <c r="S1590" s="513" t="s">
        <v>5876</v>
      </c>
    </row>
    <row r="1591" spans="2:19" ht="57.75" customHeight="1" x14ac:dyDescent="0.25">
      <c r="B1591" s="862">
        <v>45510</v>
      </c>
      <c r="C1591" s="683">
        <v>45566</v>
      </c>
      <c r="D1591" s="683"/>
      <c r="E1591" s="520" t="s">
        <v>5847</v>
      </c>
      <c r="F1591" s="681" t="s">
        <v>5887</v>
      </c>
      <c r="G1591" s="759" t="s">
        <v>5894</v>
      </c>
      <c r="H1591" s="541" t="s">
        <v>5898</v>
      </c>
      <c r="I1591" s="738" t="s">
        <v>6013</v>
      </c>
      <c r="J1591" s="513" t="s">
        <v>1594</v>
      </c>
      <c r="K1591" s="684">
        <v>62862.98</v>
      </c>
      <c r="L1591" s="543">
        <v>59.375599999999999</v>
      </c>
      <c r="M1591" s="516">
        <f t="shared" si="127"/>
        <v>1058.7342275278061</v>
      </c>
      <c r="N1591" s="587">
        <v>60</v>
      </c>
      <c r="O1591" s="588">
        <f t="shared" si="128"/>
        <v>1047.7163333333333</v>
      </c>
      <c r="P1591" s="682">
        <f t="shared" ca="1" si="125"/>
        <v>11</v>
      </c>
      <c r="Q1591" s="552">
        <f t="shared" ca="1" si="124"/>
        <v>51338.100333333336</v>
      </c>
      <c r="R1591" s="563">
        <f t="shared" ca="1" si="126"/>
        <v>51338.100333333336</v>
      </c>
      <c r="S1591" s="513" t="s">
        <v>5876</v>
      </c>
    </row>
    <row r="1592" spans="2:19" ht="57.75" customHeight="1" x14ac:dyDescent="0.25">
      <c r="B1592" s="862">
        <v>45510</v>
      </c>
      <c r="C1592" s="683">
        <v>45566</v>
      </c>
      <c r="D1592" s="683"/>
      <c r="E1592" s="520" t="s">
        <v>5847</v>
      </c>
      <c r="F1592" s="681" t="s">
        <v>5888</v>
      </c>
      <c r="G1592" s="759" t="s">
        <v>5894</v>
      </c>
      <c r="H1592" s="541" t="s">
        <v>5899</v>
      </c>
      <c r="I1592" s="738" t="s">
        <v>6013</v>
      </c>
      <c r="J1592" s="513" t="s">
        <v>1594</v>
      </c>
      <c r="K1592" s="684">
        <v>62862.98</v>
      </c>
      <c r="L1592" s="543">
        <v>59.375599999999999</v>
      </c>
      <c r="M1592" s="516">
        <f t="shared" si="127"/>
        <v>1058.7342275278061</v>
      </c>
      <c r="N1592" s="587">
        <v>60</v>
      </c>
      <c r="O1592" s="588">
        <f t="shared" si="128"/>
        <v>1047.7163333333333</v>
      </c>
      <c r="P1592" s="682">
        <f t="shared" ca="1" si="125"/>
        <v>11</v>
      </c>
      <c r="Q1592" s="552">
        <f t="shared" ca="1" si="124"/>
        <v>51338.100333333336</v>
      </c>
      <c r="R1592" s="563">
        <f t="shared" ca="1" si="126"/>
        <v>51338.100333333336</v>
      </c>
      <c r="S1592" s="513" t="s">
        <v>5876</v>
      </c>
    </row>
    <row r="1593" spans="2:19" ht="33.75" customHeight="1" x14ac:dyDescent="0.25">
      <c r="B1593" s="862">
        <v>45510</v>
      </c>
      <c r="C1593" s="683">
        <v>45566</v>
      </c>
      <c r="D1593" s="683"/>
      <c r="E1593" s="520" t="s">
        <v>5847</v>
      </c>
      <c r="F1593" s="681" t="s">
        <v>5889</v>
      </c>
      <c r="G1593" s="759" t="s">
        <v>5894</v>
      </c>
      <c r="H1593" s="541" t="s">
        <v>5900</v>
      </c>
      <c r="I1593" s="738" t="s">
        <v>6013</v>
      </c>
      <c r="J1593" s="513" t="s">
        <v>1594</v>
      </c>
      <c r="K1593" s="684">
        <v>62862.98</v>
      </c>
      <c r="L1593" s="543">
        <v>59.375599999999999</v>
      </c>
      <c r="M1593" s="516">
        <f t="shared" si="127"/>
        <v>1058.7342275278061</v>
      </c>
      <c r="N1593" s="587">
        <v>60</v>
      </c>
      <c r="O1593" s="588">
        <f t="shared" si="128"/>
        <v>1047.7163333333333</v>
      </c>
      <c r="P1593" s="682">
        <f t="shared" ca="1" si="125"/>
        <v>11</v>
      </c>
      <c r="Q1593" s="552">
        <f t="shared" ca="1" si="124"/>
        <v>51338.100333333336</v>
      </c>
      <c r="R1593" s="563">
        <f t="shared" ca="1" si="126"/>
        <v>51338.100333333336</v>
      </c>
      <c r="S1593" s="513" t="s">
        <v>5876</v>
      </c>
    </row>
    <row r="1594" spans="2:19" ht="33.75" customHeight="1" x14ac:dyDescent="0.25">
      <c r="B1594" s="862">
        <v>45510</v>
      </c>
      <c r="C1594" s="683">
        <v>45566</v>
      </c>
      <c r="D1594" s="683"/>
      <c r="E1594" s="520" t="s">
        <v>5847</v>
      </c>
      <c r="F1594" s="681" t="s">
        <v>5890</v>
      </c>
      <c r="G1594" s="759" t="s">
        <v>5894</v>
      </c>
      <c r="H1594" s="541" t="s">
        <v>5901</v>
      </c>
      <c r="I1594" s="738" t="s">
        <v>6013</v>
      </c>
      <c r="J1594" s="513" t="s">
        <v>1594</v>
      </c>
      <c r="K1594" s="684">
        <v>62862.98</v>
      </c>
      <c r="L1594" s="543">
        <v>59.375599999999999</v>
      </c>
      <c r="M1594" s="516">
        <f t="shared" si="127"/>
        <v>1058.7342275278061</v>
      </c>
      <c r="N1594" s="587">
        <v>60</v>
      </c>
      <c r="O1594" s="588">
        <f t="shared" si="128"/>
        <v>1047.7163333333333</v>
      </c>
      <c r="P1594" s="682">
        <f t="shared" ca="1" si="125"/>
        <v>11</v>
      </c>
      <c r="Q1594" s="552">
        <f t="shared" ca="1" si="124"/>
        <v>51338.100333333336</v>
      </c>
      <c r="R1594" s="563">
        <f t="shared" ca="1" si="126"/>
        <v>51338.100333333336</v>
      </c>
      <c r="S1594" s="513" t="s">
        <v>5876</v>
      </c>
    </row>
    <row r="1595" spans="2:19" ht="33.75" customHeight="1" x14ac:dyDescent="0.25">
      <c r="B1595" s="862">
        <v>45510</v>
      </c>
      <c r="C1595" s="683">
        <v>45566</v>
      </c>
      <c r="D1595" s="683"/>
      <c r="E1595" s="520" t="s">
        <v>5847</v>
      </c>
      <c r="F1595" s="681" t="s">
        <v>5891</v>
      </c>
      <c r="G1595" s="759" t="s">
        <v>5894</v>
      </c>
      <c r="H1595" s="541" t="s">
        <v>5902</v>
      </c>
      <c r="I1595" s="738" t="s">
        <v>6013</v>
      </c>
      <c r="J1595" s="513" t="s">
        <v>1594</v>
      </c>
      <c r="K1595" s="684">
        <v>62862.98</v>
      </c>
      <c r="L1595" s="543">
        <v>59.375599999999999</v>
      </c>
      <c r="M1595" s="516">
        <f t="shared" si="127"/>
        <v>1058.7342275278061</v>
      </c>
      <c r="N1595" s="587">
        <v>60</v>
      </c>
      <c r="O1595" s="588">
        <f t="shared" si="128"/>
        <v>1047.7163333333333</v>
      </c>
      <c r="P1595" s="682">
        <f t="shared" ca="1" si="125"/>
        <v>11</v>
      </c>
      <c r="Q1595" s="552">
        <f t="shared" ca="1" si="124"/>
        <v>51338.100333333336</v>
      </c>
      <c r="R1595" s="563">
        <f t="shared" ca="1" si="126"/>
        <v>51338.100333333336</v>
      </c>
      <c r="S1595" s="513" t="s">
        <v>5876</v>
      </c>
    </row>
    <row r="1596" spans="2:19" ht="33.75" customHeight="1" x14ac:dyDescent="0.25">
      <c r="B1596" s="862">
        <v>45510</v>
      </c>
      <c r="C1596" s="683">
        <v>45566</v>
      </c>
      <c r="D1596" s="683"/>
      <c r="E1596" s="520" t="s">
        <v>5847</v>
      </c>
      <c r="F1596" s="681" t="s">
        <v>5892</v>
      </c>
      <c r="G1596" s="759" t="s">
        <v>5894</v>
      </c>
      <c r="H1596" s="541" t="s">
        <v>5903</v>
      </c>
      <c r="I1596" s="738" t="s">
        <v>6013</v>
      </c>
      <c r="J1596" s="513" t="s">
        <v>1594</v>
      </c>
      <c r="K1596" s="684">
        <v>62862.98</v>
      </c>
      <c r="L1596" s="543">
        <v>59.375599999999999</v>
      </c>
      <c r="M1596" s="516">
        <f t="shared" si="127"/>
        <v>1058.7342275278061</v>
      </c>
      <c r="N1596" s="587">
        <v>60</v>
      </c>
      <c r="O1596" s="588">
        <f t="shared" si="128"/>
        <v>1047.7163333333333</v>
      </c>
      <c r="P1596" s="682">
        <f t="shared" ca="1" si="125"/>
        <v>11</v>
      </c>
      <c r="Q1596" s="552">
        <f t="shared" ca="1" si="124"/>
        <v>51338.100333333336</v>
      </c>
      <c r="R1596" s="563">
        <f t="shared" ca="1" si="126"/>
        <v>51338.100333333336</v>
      </c>
      <c r="S1596" s="513" t="s">
        <v>5876</v>
      </c>
    </row>
    <row r="1597" spans="2:19" ht="33.75" customHeight="1" x14ac:dyDescent="0.25">
      <c r="B1597" s="862">
        <v>45510</v>
      </c>
      <c r="C1597" s="683">
        <v>45566</v>
      </c>
      <c r="D1597" s="683"/>
      <c r="E1597" s="520" t="s">
        <v>5847</v>
      </c>
      <c r="F1597" s="681" t="s">
        <v>5893</v>
      </c>
      <c r="G1597" s="759" t="s">
        <v>5894</v>
      </c>
      <c r="H1597" s="541" t="s">
        <v>5904</v>
      </c>
      <c r="I1597" s="738" t="s">
        <v>6013</v>
      </c>
      <c r="J1597" s="513" t="s">
        <v>1594</v>
      </c>
      <c r="K1597" s="684">
        <v>62862.98</v>
      </c>
      <c r="L1597" s="543">
        <v>59.375599999999999</v>
      </c>
      <c r="M1597" s="516">
        <f t="shared" si="127"/>
        <v>1058.7342275278061</v>
      </c>
      <c r="N1597" s="587">
        <v>60</v>
      </c>
      <c r="O1597" s="588">
        <f t="shared" si="128"/>
        <v>1047.7163333333333</v>
      </c>
      <c r="P1597" s="682">
        <f t="shared" ca="1" si="125"/>
        <v>11</v>
      </c>
      <c r="Q1597" s="552">
        <f t="shared" ca="1" si="124"/>
        <v>51338.100333333336</v>
      </c>
      <c r="R1597" s="563">
        <f t="shared" ca="1" si="126"/>
        <v>51338.100333333336</v>
      </c>
      <c r="S1597" s="513" t="s">
        <v>5876</v>
      </c>
    </row>
    <row r="1598" spans="2:19" ht="33.75" customHeight="1" x14ac:dyDescent="0.25">
      <c r="B1598" s="862">
        <v>45510</v>
      </c>
      <c r="C1598" s="683">
        <v>45566</v>
      </c>
      <c r="D1598" s="683"/>
      <c r="E1598" s="520" t="s">
        <v>5847</v>
      </c>
      <c r="F1598" s="681" t="s">
        <v>5883</v>
      </c>
      <c r="G1598" s="759" t="s">
        <v>5894</v>
      </c>
      <c r="H1598" s="541" t="s">
        <v>5905</v>
      </c>
      <c r="I1598" s="738" t="s">
        <v>6013</v>
      </c>
      <c r="J1598" s="513" t="s">
        <v>1594</v>
      </c>
      <c r="K1598" s="684">
        <v>62862.98</v>
      </c>
      <c r="L1598" s="543">
        <v>59.375599999999999</v>
      </c>
      <c r="M1598" s="516">
        <f t="shared" si="127"/>
        <v>1058.7342275278061</v>
      </c>
      <c r="N1598" s="587">
        <v>60</v>
      </c>
      <c r="O1598" s="588">
        <f t="shared" si="128"/>
        <v>1047.7163333333333</v>
      </c>
      <c r="P1598" s="682">
        <f t="shared" ca="1" si="125"/>
        <v>11</v>
      </c>
      <c r="Q1598" s="552">
        <f t="shared" ca="1" si="124"/>
        <v>51338.100333333336</v>
      </c>
      <c r="R1598" s="563">
        <f t="shared" ca="1" si="126"/>
        <v>51338.100333333336</v>
      </c>
      <c r="S1598" s="513" t="s">
        <v>5876</v>
      </c>
    </row>
    <row r="1599" spans="2:19" ht="84" customHeight="1" x14ac:dyDescent="0.25">
      <c r="B1599" s="862">
        <v>45510</v>
      </c>
      <c r="C1599" s="683">
        <v>45566</v>
      </c>
      <c r="D1599" s="683"/>
      <c r="E1599" s="520" t="s">
        <v>5847</v>
      </c>
      <c r="F1599" s="681" t="s">
        <v>5911</v>
      </c>
      <c r="G1599" s="759" t="s">
        <v>5894</v>
      </c>
      <c r="H1599" s="541" t="s">
        <v>5906</v>
      </c>
      <c r="I1599" s="738" t="s">
        <v>6013</v>
      </c>
      <c r="J1599" s="513" t="s">
        <v>1594</v>
      </c>
      <c r="K1599" s="684">
        <v>62862.98</v>
      </c>
      <c r="L1599" s="543">
        <v>59.375599999999999</v>
      </c>
      <c r="M1599" s="516">
        <f t="shared" si="127"/>
        <v>1058.7342275278061</v>
      </c>
      <c r="N1599" s="587">
        <v>60</v>
      </c>
      <c r="O1599" s="588">
        <f t="shared" si="128"/>
        <v>1047.7163333333333</v>
      </c>
      <c r="P1599" s="682">
        <f t="shared" ca="1" si="125"/>
        <v>11</v>
      </c>
      <c r="Q1599" s="552">
        <f t="shared" ca="1" si="124"/>
        <v>51338.100333333336</v>
      </c>
      <c r="R1599" s="563">
        <f t="shared" ca="1" si="126"/>
        <v>51338.100333333336</v>
      </c>
      <c r="S1599" s="513" t="s">
        <v>5876</v>
      </c>
    </row>
    <row r="1600" spans="2:19" ht="84" customHeight="1" x14ac:dyDescent="0.25">
      <c r="B1600" s="862">
        <v>45511</v>
      </c>
      <c r="C1600" s="683">
        <v>45574</v>
      </c>
      <c r="D1600" s="683"/>
      <c r="E1600" s="520" t="s">
        <v>5994</v>
      </c>
      <c r="F1600" s="734" t="s">
        <v>5995</v>
      </c>
      <c r="G1600" s="760" t="s">
        <v>6000</v>
      </c>
      <c r="H1600" s="733" t="s">
        <v>6001</v>
      </c>
      <c r="I1600" s="612" t="s">
        <v>6013</v>
      </c>
      <c r="J1600" s="613" t="s">
        <v>6009</v>
      </c>
      <c r="K1600" s="684">
        <v>32000</v>
      </c>
      <c r="L1600" s="543">
        <v>59.544699999999999</v>
      </c>
      <c r="M1600" s="516">
        <f t="shared" si="127"/>
        <v>537.411390098531</v>
      </c>
      <c r="N1600" s="587">
        <v>60</v>
      </c>
      <c r="O1600" s="588">
        <f t="shared" si="128"/>
        <v>533.33333333333337</v>
      </c>
      <c r="P1600" s="735">
        <f t="shared" ca="1" si="125"/>
        <v>11</v>
      </c>
      <c r="Q1600" s="552">
        <f t="shared" ca="1" si="124"/>
        <v>26133.333333333332</v>
      </c>
      <c r="R1600" s="563">
        <f t="shared" ca="1" si="126"/>
        <v>26133.333333333332</v>
      </c>
      <c r="S1600" s="513" t="s">
        <v>4344</v>
      </c>
    </row>
    <row r="1601" spans="2:19" ht="84" customHeight="1" x14ac:dyDescent="0.25">
      <c r="B1601" s="862">
        <v>45511</v>
      </c>
      <c r="C1601" s="683">
        <v>45574</v>
      </c>
      <c r="D1601" s="683"/>
      <c r="E1601" s="520" t="s">
        <v>5994</v>
      </c>
      <c r="F1601" s="734" t="s">
        <v>5996</v>
      </c>
      <c r="G1601" s="760" t="s">
        <v>6000</v>
      </c>
      <c r="H1601" s="733" t="s">
        <v>6002</v>
      </c>
      <c r="I1601" s="612" t="s">
        <v>6013</v>
      </c>
      <c r="J1601" s="613" t="s">
        <v>6009</v>
      </c>
      <c r="K1601" s="684">
        <v>32000</v>
      </c>
      <c r="L1601" s="543">
        <v>59.544699999999999</v>
      </c>
      <c r="M1601" s="516">
        <f t="shared" si="127"/>
        <v>537.411390098531</v>
      </c>
      <c r="N1601" s="587">
        <v>60</v>
      </c>
      <c r="O1601" s="588">
        <f t="shared" si="128"/>
        <v>533.33333333333337</v>
      </c>
      <c r="P1601" s="735">
        <f t="shared" ca="1" si="125"/>
        <v>11</v>
      </c>
      <c r="Q1601" s="552">
        <f t="shared" ca="1" si="124"/>
        <v>26133.333333333332</v>
      </c>
      <c r="R1601" s="563">
        <f t="shared" ca="1" si="126"/>
        <v>26133.333333333332</v>
      </c>
      <c r="S1601" s="513" t="s">
        <v>4344</v>
      </c>
    </row>
    <row r="1602" spans="2:19" ht="84" customHeight="1" x14ac:dyDescent="0.25">
      <c r="B1602" s="862">
        <v>45511</v>
      </c>
      <c r="C1602" s="683">
        <v>45574</v>
      </c>
      <c r="D1602" s="683"/>
      <c r="E1602" s="520" t="s">
        <v>5994</v>
      </c>
      <c r="F1602" s="734" t="s">
        <v>5997</v>
      </c>
      <c r="G1602" s="760" t="s">
        <v>6000</v>
      </c>
      <c r="H1602" s="733" t="s">
        <v>6003</v>
      </c>
      <c r="I1602" s="612" t="s">
        <v>6013</v>
      </c>
      <c r="J1602" s="613" t="s">
        <v>6009</v>
      </c>
      <c r="K1602" s="684">
        <v>32000</v>
      </c>
      <c r="L1602" s="543">
        <v>59.544699999999999</v>
      </c>
      <c r="M1602" s="516">
        <f t="shared" si="127"/>
        <v>537.411390098531</v>
      </c>
      <c r="N1602" s="587">
        <v>60</v>
      </c>
      <c r="O1602" s="588">
        <f t="shared" si="128"/>
        <v>533.33333333333337</v>
      </c>
      <c r="P1602" s="735">
        <f t="shared" ca="1" si="125"/>
        <v>11</v>
      </c>
      <c r="Q1602" s="552">
        <f t="shared" ref="Q1602:Q1665" ca="1" si="129">IF(OR(K1602=0,N1602=0,P1602=0),0,K1602-(O1602*P1602))</f>
        <v>26133.333333333332</v>
      </c>
      <c r="R1602" s="563">
        <f t="shared" ca="1" si="126"/>
        <v>26133.333333333332</v>
      </c>
      <c r="S1602" s="513" t="s">
        <v>4344</v>
      </c>
    </row>
    <row r="1603" spans="2:19" ht="84" customHeight="1" x14ac:dyDescent="0.25">
      <c r="B1603" s="862">
        <v>45511</v>
      </c>
      <c r="C1603" s="683">
        <v>45574</v>
      </c>
      <c r="D1603" s="683"/>
      <c r="E1603" s="520" t="s">
        <v>5994</v>
      </c>
      <c r="F1603" s="734" t="s">
        <v>5998</v>
      </c>
      <c r="G1603" s="760" t="s">
        <v>6000</v>
      </c>
      <c r="H1603" s="733" t="s">
        <v>6004</v>
      </c>
      <c r="I1603" s="612" t="s">
        <v>6013</v>
      </c>
      <c r="J1603" s="613" t="s">
        <v>6009</v>
      </c>
      <c r="K1603" s="684">
        <v>32000</v>
      </c>
      <c r="L1603" s="543">
        <v>59.544699999999999</v>
      </c>
      <c r="M1603" s="516">
        <f t="shared" si="127"/>
        <v>537.411390098531</v>
      </c>
      <c r="N1603" s="587">
        <v>60</v>
      </c>
      <c r="O1603" s="588">
        <f t="shared" si="128"/>
        <v>533.33333333333337</v>
      </c>
      <c r="P1603" s="735">
        <f t="shared" ca="1" si="125"/>
        <v>11</v>
      </c>
      <c r="Q1603" s="552">
        <f t="shared" ca="1" si="129"/>
        <v>26133.333333333332</v>
      </c>
      <c r="R1603" s="563">
        <f t="shared" ca="1" si="126"/>
        <v>26133.333333333332</v>
      </c>
      <c r="S1603" s="513" t="s">
        <v>4344</v>
      </c>
    </row>
    <row r="1604" spans="2:19" ht="84" customHeight="1" x14ac:dyDescent="0.25">
      <c r="B1604" s="862">
        <v>45511</v>
      </c>
      <c r="C1604" s="683">
        <v>45574</v>
      </c>
      <c r="D1604" s="683"/>
      <c r="E1604" s="520" t="s">
        <v>5994</v>
      </c>
      <c r="F1604" s="734" t="s">
        <v>5999</v>
      </c>
      <c r="G1604" s="760" t="s">
        <v>6000</v>
      </c>
      <c r="H1604" s="733" t="s">
        <v>6005</v>
      </c>
      <c r="I1604" s="612" t="s">
        <v>6013</v>
      </c>
      <c r="J1604" s="613" t="s">
        <v>6009</v>
      </c>
      <c r="K1604" s="684">
        <v>32000</v>
      </c>
      <c r="L1604" s="543">
        <v>59.544699999999999</v>
      </c>
      <c r="M1604" s="516">
        <f t="shared" si="127"/>
        <v>537.411390098531</v>
      </c>
      <c r="N1604" s="587">
        <v>60</v>
      </c>
      <c r="O1604" s="588">
        <f t="shared" si="128"/>
        <v>533.33333333333337</v>
      </c>
      <c r="P1604" s="735">
        <f t="shared" ca="1" si="125"/>
        <v>11</v>
      </c>
      <c r="Q1604" s="552">
        <f t="shared" ca="1" si="129"/>
        <v>26133.333333333332</v>
      </c>
      <c r="R1604" s="563">
        <f t="shared" ca="1" si="126"/>
        <v>26133.333333333332</v>
      </c>
      <c r="S1604" s="513" t="s">
        <v>4344</v>
      </c>
    </row>
    <row r="1605" spans="2:19" ht="84" customHeight="1" x14ac:dyDescent="0.25">
      <c r="B1605" s="862">
        <v>45518</v>
      </c>
      <c r="C1605" s="683">
        <v>45566</v>
      </c>
      <c r="D1605" s="683"/>
      <c r="E1605" s="520" t="s">
        <v>5976</v>
      </c>
      <c r="F1605" s="734" t="s">
        <v>5977</v>
      </c>
      <c r="G1605" s="760" t="s">
        <v>5985</v>
      </c>
      <c r="H1605" s="733" t="s">
        <v>5986</v>
      </c>
      <c r="I1605" s="781" t="s">
        <v>2411</v>
      </c>
      <c r="J1605" s="749" t="s">
        <v>19</v>
      </c>
      <c r="K1605" s="684">
        <v>37071.599999999999</v>
      </c>
      <c r="L1605" s="543">
        <v>59.607399999999998</v>
      </c>
      <c r="M1605" s="516">
        <f t="shared" si="127"/>
        <v>621.92949197582845</v>
      </c>
      <c r="N1605" s="587">
        <v>60</v>
      </c>
      <c r="O1605" s="588">
        <f t="shared" si="128"/>
        <v>617.86</v>
      </c>
      <c r="P1605" s="735">
        <f t="shared" ca="1" si="125"/>
        <v>11</v>
      </c>
      <c r="Q1605" s="552">
        <f t="shared" ca="1" si="129"/>
        <v>30275.14</v>
      </c>
      <c r="R1605" s="563">
        <f t="shared" ca="1" si="126"/>
        <v>30275.14</v>
      </c>
      <c r="S1605" s="513" t="s">
        <v>4964</v>
      </c>
    </row>
    <row r="1606" spans="2:19" ht="84" customHeight="1" x14ac:dyDescent="0.25">
      <c r="B1606" s="862">
        <v>45518</v>
      </c>
      <c r="C1606" s="683">
        <v>45574</v>
      </c>
      <c r="D1606" s="683"/>
      <c r="E1606" s="520" t="s">
        <v>5976</v>
      </c>
      <c r="F1606" s="734" t="s">
        <v>5978</v>
      </c>
      <c r="G1606" s="760" t="s">
        <v>5984</v>
      </c>
      <c r="H1606" s="733" t="s">
        <v>5987</v>
      </c>
      <c r="I1606" s="781" t="s">
        <v>2411</v>
      </c>
      <c r="J1606" s="749" t="s">
        <v>19</v>
      </c>
      <c r="K1606" s="684">
        <v>37071.599999999999</v>
      </c>
      <c r="L1606" s="543">
        <v>59.607399999999998</v>
      </c>
      <c r="M1606" s="516">
        <f t="shared" si="127"/>
        <v>621.92949197582845</v>
      </c>
      <c r="N1606" s="587">
        <v>60</v>
      </c>
      <c r="O1606" s="588">
        <f t="shared" si="128"/>
        <v>617.86</v>
      </c>
      <c r="P1606" s="735">
        <f t="shared" ca="1" si="125"/>
        <v>11</v>
      </c>
      <c r="Q1606" s="552">
        <f t="shared" ca="1" si="129"/>
        <v>30275.14</v>
      </c>
      <c r="R1606" s="563">
        <f t="shared" ca="1" si="126"/>
        <v>30275.14</v>
      </c>
      <c r="S1606" s="513" t="s">
        <v>4964</v>
      </c>
    </row>
    <row r="1607" spans="2:19" ht="84" customHeight="1" x14ac:dyDescent="0.25">
      <c r="B1607" s="862">
        <v>45518</v>
      </c>
      <c r="C1607" s="683">
        <v>45574</v>
      </c>
      <c r="D1607" s="683"/>
      <c r="E1607" s="520" t="s">
        <v>5976</v>
      </c>
      <c r="F1607" s="734" t="s">
        <v>5979</v>
      </c>
      <c r="G1607" s="760" t="s">
        <v>5984</v>
      </c>
      <c r="H1607" s="733" t="s">
        <v>5988</v>
      </c>
      <c r="I1607" s="781" t="s">
        <v>2411</v>
      </c>
      <c r="J1607" s="749" t="s">
        <v>19</v>
      </c>
      <c r="K1607" s="684">
        <v>37071.599999999999</v>
      </c>
      <c r="L1607" s="543">
        <v>59.607399999999998</v>
      </c>
      <c r="M1607" s="516">
        <f t="shared" si="127"/>
        <v>621.92949197582845</v>
      </c>
      <c r="N1607" s="587">
        <v>60</v>
      </c>
      <c r="O1607" s="588">
        <f t="shared" si="128"/>
        <v>617.86</v>
      </c>
      <c r="P1607" s="735">
        <f t="shared" ca="1" si="125"/>
        <v>11</v>
      </c>
      <c r="Q1607" s="552">
        <f t="shared" ca="1" si="129"/>
        <v>30275.14</v>
      </c>
      <c r="R1607" s="563">
        <f t="shared" ca="1" si="126"/>
        <v>30275.14</v>
      </c>
      <c r="S1607" s="513" t="s">
        <v>4964</v>
      </c>
    </row>
    <row r="1608" spans="2:19" ht="84" customHeight="1" x14ac:dyDescent="0.25">
      <c r="B1608" s="862">
        <v>45518</v>
      </c>
      <c r="C1608" s="683">
        <v>45574</v>
      </c>
      <c r="D1608" s="683"/>
      <c r="E1608" s="520" t="s">
        <v>5976</v>
      </c>
      <c r="F1608" s="734" t="s">
        <v>5980</v>
      </c>
      <c r="G1608" s="760" t="s">
        <v>5984</v>
      </c>
      <c r="H1608" s="733" t="s">
        <v>5989</v>
      </c>
      <c r="I1608" s="781" t="s">
        <v>2411</v>
      </c>
      <c r="J1608" s="749" t="s">
        <v>19</v>
      </c>
      <c r="K1608" s="684">
        <v>37071.599999999999</v>
      </c>
      <c r="L1608" s="543">
        <v>59.607399999999998</v>
      </c>
      <c r="M1608" s="516">
        <f t="shared" si="127"/>
        <v>621.92949197582845</v>
      </c>
      <c r="N1608" s="587">
        <v>60</v>
      </c>
      <c r="O1608" s="588">
        <f t="shared" si="128"/>
        <v>617.86</v>
      </c>
      <c r="P1608" s="735">
        <f t="shared" ref="P1608:P1671" ca="1" si="130">IF(B1608&lt;&gt;0,(ROUND((NOW()-B1608)/30,0)),0)</f>
        <v>11</v>
      </c>
      <c r="Q1608" s="552">
        <f t="shared" ca="1" si="129"/>
        <v>30275.14</v>
      </c>
      <c r="R1608" s="563">
        <f t="shared" ref="R1608:R1671" ca="1" si="131">IF(Q1608&lt;1,1,Q1608)</f>
        <v>30275.14</v>
      </c>
      <c r="S1608" s="513" t="s">
        <v>4964</v>
      </c>
    </row>
    <row r="1609" spans="2:19" ht="84" customHeight="1" x14ac:dyDescent="0.25">
      <c r="B1609" s="862">
        <v>45518</v>
      </c>
      <c r="C1609" s="683">
        <v>45574</v>
      </c>
      <c r="D1609" s="683"/>
      <c r="E1609" s="520" t="s">
        <v>5976</v>
      </c>
      <c r="F1609" s="734" t="s">
        <v>5981</v>
      </c>
      <c r="G1609" s="760" t="s">
        <v>5984</v>
      </c>
      <c r="H1609" s="733" t="s">
        <v>5990</v>
      </c>
      <c r="I1609" s="781" t="s">
        <v>2411</v>
      </c>
      <c r="J1609" s="749" t="s">
        <v>19</v>
      </c>
      <c r="K1609" s="684">
        <v>37071.599999999999</v>
      </c>
      <c r="L1609" s="543">
        <v>59.607399999999998</v>
      </c>
      <c r="M1609" s="516">
        <f t="shared" si="127"/>
        <v>621.92949197582845</v>
      </c>
      <c r="N1609" s="587">
        <v>60</v>
      </c>
      <c r="O1609" s="588">
        <f t="shared" si="128"/>
        <v>617.86</v>
      </c>
      <c r="P1609" s="735">
        <f t="shared" ca="1" si="130"/>
        <v>11</v>
      </c>
      <c r="Q1609" s="552">
        <f t="shared" ca="1" si="129"/>
        <v>30275.14</v>
      </c>
      <c r="R1609" s="563">
        <f t="shared" ca="1" si="131"/>
        <v>30275.14</v>
      </c>
      <c r="S1609" s="513" t="s">
        <v>4964</v>
      </c>
    </row>
    <row r="1610" spans="2:19" ht="84" customHeight="1" x14ac:dyDescent="0.25">
      <c r="B1610" s="862">
        <v>45518</v>
      </c>
      <c r="C1610" s="683">
        <v>45574</v>
      </c>
      <c r="D1610" s="683"/>
      <c r="E1610" s="520" t="s">
        <v>5976</v>
      </c>
      <c r="F1610" s="734" t="s">
        <v>5982</v>
      </c>
      <c r="G1610" s="760" t="s">
        <v>5984</v>
      </c>
      <c r="H1610" s="733" t="s">
        <v>5991</v>
      </c>
      <c r="I1610" s="781" t="s">
        <v>2411</v>
      </c>
      <c r="J1610" s="749" t="s">
        <v>19</v>
      </c>
      <c r="K1610" s="684">
        <v>37071.599999999999</v>
      </c>
      <c r="L1610" s="543">
        <v>59.607399999999998</v>
      </c>
      <c r="M1610" s="516">
        <f t="shared" si="127"/>
        <v>621.92949197582845</v>
      </c>
      <c r="N1610" s="587">
        <v>60</v>
      </c>
      <c r="O1610" s="588">
        <f t="shared" si="128"/>
        <v>617.86</v>
      </c>
      <c r="P1610" s="735">
        <f t="shared" ca="1" si="130"/>
        <v>11</v>
      </c>
      <c r="Q1610" s="552">
        <f t="shared" ca="1" si="129"/>
        <v>30275.14</v>
      </c>
      <c r="R1610" s="563">
        <f t="shared" ca="1" si="131"/>
        <v>30275.14</v>
      </c>
      <c r="S1610" s="513" t="s">
        <v>4964</v>
      </c>
    </row>
    <row r="1611" spans="2:19" ht="84" customHeight="1" x14ac:dyDescent="0.25">
      <c r="B1611" s="862">
        <v>45518</v>
      </c>
      <c r="C1611" s="683">
        <v>45574</v>
      </c>
      <c r="D1611" s="683"/>
      <c r="E1611" s="520" t="s">
        <v>5976</v>
      </c>
      <c r="F1611" s="734" t="s">
        <v>5983</v>
      </c>
      <c r="G1611" s="760" t="s">
        <v>5984</v>
      </c>
      <c r="H1611" s="733" t="s">
        <v>5992</v>
      </c>
      <c r="I1611" s="781" t="s">
        <v>2411</v>
      </c>
      <c r="J1611" s="749" t="s">
        <v>19</v>
      </c>
      <c r="K1611" s="684">
        <v>37071.599999999999</v>
      </c>
      <c r="L1611" s="543">
        <v>59.607399999999998</v>
      </c>
      <c r="M1611" s="516">
        <f t="shared" si="127"/>
        <v>621.92949197582845</v>
      </c>
      <c r="N1611" s="587">
        <v>60</v>
      </c>
      <c r="O1611" s="588">
        <f t="shared" si="128"/>
        <v>617.86</v>
      </c>
      <c r="P1611" s="735">
        <f t="shared" ca="1" si="130"/>
        <v>11</v>
      </c>
      <c r="Q1611" s="552">
        <f t="shared" ca="1" si="129"/>
        <v>30275.14</v>
      </c>
      <c r="R1611" s="563">
        <f t="shared" ca="1" si="131"/>
        <v>30275.14</v>
      </c>
      <c r="S1611" s="513" t="s">
        <v>4964</v>
      </c>
    </row>
    <row r="1612" spans="2:19" ht="84" customHeight="1" x14ac:dyDescent="0.25">
      <c r="B1612" s="862">
        <v>45526</v>
      </c>
      <c r="C1612" s="683">
        <v>45579</v>
      </c>
      <c r="D1612" s="683"/>
      <c r="E1612" s="520" t="s">
        <v>5927</v>
      </c>
      <c r="F1612" s="734" t="s">
        <v>5948</v>
      </c>
      <c r="G1612" s="760" t="s">
        <v>5972</v>
      </c>
      <c r="H1612" s="733" t="s">
        <v>5973</v>
      </c>
      <c r="I1612" s="612" t="s">
        <v>6013</v>
      </c>
      <c r="J1612" s="613" t="s">
        <v>6009</v>
      </c>
      <c r="K1612" s="684">
        <v>87336.03</v>
      </c>
      <c r="L1612" s="543">
        <v>59.4377</v>
      </c>
      <c r="M1612" s="516">
        <f t="shared" si="127"/>
        <v>1469.3709547980491</v>
      </c>
      <c r="N1612" s="587">
        <v>60</v>
      </c>
      <c r="O1612" s="588">
        <f t="shared" si="128"/>
        <v>1455.6005</v>
      </c>
      <c r="P1612" s="735">
        <f t="shared" ca="1" si="130"/>
        <v>11</v>
      </c>
      <c r="Q1612" s="552">
        <f t="shared" ca="1" si="129"/>
        <v>71324.424499999994</v>
      </c>
      <c r="R1612" s="563">
        <f t="shared" ca="1" si="131"/>
        <v>71324.424499999994</v>
      </c>
      <c r="S1612" s="513" t="s">
        <v>4964</v>
      </c>
    </row>
    <row r="1613" spans="2:19" ht="84" customHeight="1" x14ac:dyDescent="0.25">
      <c r="B1613" s="862">
        <v>45526</v>
      </c>
      <c r="C1613" s="683">
        <v>45579</v>
      </c>
      <c r="D1613" s="683"/>
      <c r="E1613" s="520" t="s">
        <v>5927</v>
      </c>
      <c r="F1613" s="734" t="s">
        <v>5949</v>
      </c>
      <c r="G1613" s="760" t="s">
        <v>5972</v>
      </c>
      <c r="H1613" s="733" t="s">
        <v>5974</v>
      </c>
      <c r="I1613" s="612" t="s">
        <v>6013</v>
      </c>
      <c r="J1613" s="613" t="s">
        <v>6009</v>
      </c>
      <c r="K1613" s="684">
        <v>87336.03</v>
      </c>
      <c r="L1613" s="543">
        <v>59.4377</v>
      </c>
      <c r="M1613" s="516">
        <f t="shared" si="127"/>
        <v>1469.3709547980491</v>
      </c>
      <c r="N1613" s="587">
        <v>60</v>
      </c>
      <c r="O1613" s="588">
        <f t="shared" si="128"/>
        <v>1455.6005</v>
      </c>
      <c r="P1613" s="735">
        <f t="shared" ca="1" si="130"/>
        <v>11</v>
      </c>
      <c r="Q1613" s="552">
        <f t="shared" ca="1" si="129"/>
        <v>71324.424499999994</v>
      </c>
      <c r="R1613" s="563">
        <f t="shared" ca="1" si="131"/>
        <v>71324.424499999994</v>
      </c>
      <c r="S1613" s="513" t="s">
        <v>4964</v>
      </c>
    </row>
    <row r="1614" spans="2:19" ht="84" customHeight="1" x14ac:dyDescent="0.25">
      <c r="B1614" s="862">
        <v>45526</v>
      </c>
      <c r="C1614" s="683">
        <v>45579</v>
      </c>
      <c r="D1614" s="683"/>
      <c r="E1614" s="520" t="s">
        <v>5927</v>
      </c>
      <c r="F1614" s="734" t="s">
        <v>5950</v>
      </c>
      <c r="G1614" s="760" t="s">
        <v>5972</v>
      </c>
      <c r="H1614" s="733" t="s">
        <v>5975</v>
      </c>
      <c r="I1614" s="612" t="s">
        <v>6013</v>
      </c>
      <c r="J1614" s="613" t="s">
        <v>6009</v>
      </c>
      <c r="K1614" s="684">
        <v>87336.03</v>
      </c>
      <c r="L1614" s="543">
        <v>59.4377</v>
      </c>
      <c r="M1614" s="516">
        <f t="shared" si="127"/>
        <v>1469.3709547980491</v>
      </c>
      <c r="N1614" s="587">
        <v>60</v>
      </c>
      <c r="O1614" s="588">
        <f t="shared" si="128"/>
        <v>1455.6005</v>
      </c>
      <c r="P1614" s="735">
        <f t="shared" ca="1" si="130"/>
        <v>11</v>
      </c>
      <c r="Q1614" s="552">
        <f t="shared" ca="1" si="129"/>
        <v>71324.424499999994</v>
      </c>
      <c r="R1614" s="563">
        <f t="shared" ca="1" si="131"/>
        <v>71324.424499999994</v>
      </c>
      <c r="S1614" s="513" t="s">
        <v>4964</v>
      </c>
    </row>
    <row r="1615" spans="2:19" ht="84" customHeight="1" x14ac:dyDescent="0.25">
      <c r="B1615" s="862">
        <v>45526</v>
      </c>
      <c r="C1615" s="683">
        <v>45579</v>
      </c>
      <c r="D1615" s="683" t="s">
        <v>6014</v>
      </c>
      <c r="E1615" s="733" t="s">
        <v>5927</v>
      </c>
      <c r="F1615" s="734" t="s">
        <v>5947</v>
      </c>
      <c r="G1615" s="760" t="s">
        <v>5951</v>
      </c>
      <c r="H1615" s="733" t="s">
        <v>5952</v>
      </c>
      <c r="I1615" s="612" t="s">
        <v>6013</v>
      </c>
      <c r="J1615" s="613" t="s">
        <v>6009</v>
      </c>
      <c r="K1615" s="684">
        <v>60790.59</v>
      </c>
      <c r="L1615" s="543">
        <v>59.4377</v>
      </c>
      <c r="M1615" s="516">
        <f t="shared" si="127"/>
        <v>1022.7614796669453</v>
      </c>
      <c r="N1615" s="587">
        <v>60</v>
      </c>
      <c r="O1615" s="588">
        <f t="shared" si="128"/>
        <v>1013.1764999999999</v>
      </c>
      <c r="P1615" s="735">
        <f t="shared" ca="1" si="130"/>
        <v>11</v>
      </c>
      <c r="Q1615" s="552">
        <f t="shared" ca="1" si="129"/>
        <v>49645.648499999996</v>
      </c>
      <c r="R1615" s="563">
        <f t="shared" ca="1" si="131"/>
        <v>49645.648499999996</v>
      </c>
      <c r="S1615" s="513" t="s">
        <v>4964</v>
      </c>
    </row>
    <row r="1616" spans="2:19" ht="84" customHeight="1" x14ac:dyDescent="0.25">
      <c r="B1616" s="862">
        <v>45526</v>
      </c>
      <c r="C1616" s="683">
        <v>45579</v>
      </c>
      <c r="D1616" s="683"/>
      <c r="E1616" s="520" t="s">
        <v>5927</v>
      </c>
      <c r="F1616" s="734" t="s">
        <v>5928</v>
      </c>
      <c r="G1616" s="760" t="s">
        <v>5951</v>
      </c>
      <c r="H1616" s="733" t="s">
        <v>5953</v>
      </c>
      <c r="I1616" s="612" t="s">
        <v>6013</v>
      </c>
      <c r="J1616" s="613" t="s">
        <v>6009</v>
      </c>
      <c r="K1616" s="684">
        <v>60790.59</v>
      </c>
      <c r="L1616" s="543">
        <v>59.4377</v>
      </c>
      <c r="M1616" s="516">
        <f t="shared" ref="M1616:M1679" si="132">+K1616/L1616</f>
        <v>1022.7614796669453</v>
      </c>
      <c r="N1616" s="587">
        <v>60</v>
      </c>
      <c r="O1616" s="588">
        <f t="shared" si="128"/>
        <v>1013.1764999999999</v>
      </c>
      <c r="P1616" s="735">
        <f t="shared" ca="1" si="130"/>
        <v>11</v>
      </c>
      <c r="Q1616" s="552">
        <f t="shared" ca="1" si="129"/>
        <v>49645.648499999996</v>
      </c>
      <c r="R1616" s="563">
        <f t="shared" ca="1" si="131"/>
        <v>49645.648499999996</v>
      </c>
      <c r="S1616" s="513" t="s">
        <v>4964</v>
      </c>
    </row>
    <row r="1617" spans="2:19" ht="84" customHeight="1" x14ac:dyDescent="0.25">
      <c r="B1617" s="862">
        <v>45526</v>
      </c>
      <c r="C1617" s="683">
        <v>45579</v>
      </c>
      <c r="D1617" s="683"/>
      <c r="E1617" s="520" t="s">
        <v>5927</v>
      </c>
      <c r="F1617" s="734" t="s">
        <v>5929</v>
      </c>
      <c r="G1617" s="760" t="s">
        <v>5951</v>
      </c>
      <c r="H1617" s="733" t="s">
        <v>5955</v>
      </c>
      <c r="I1617" s="612" t="s">
        <v>6013</v>
      </c>
      <c r="J1617" s="613" t="s">
        <v>6009</v>
      </c>
      <c r="K1617" s="684">
        <v>60790.59</v>
      </c>
      <c r="L1617" s="543">
        <v>59.4377</v>
      </c>
      <c r="M1617" s="516">
        <f t="shared" si="132"/>
        <v>1022.7614796669453</v>
      </c>
      <c r="N1617" s="587">
        <v>60</v>
      </c>
      <c r="O1617" s="588">
        <f t="shared" si="128"/>
        <v>1013.1764999999999</v>
      </c>
      <c r="P1617" s="735">
        <f t="shared" ca="1" si="130"/>
        <v>11</v>
      </c>
      <c r="Q1617" s="552">
        <f t="shared" ca="1" si="129"/>
        <v>49645.648499999996</v>
      </c>
      <c r="R1617" s="563">
        <f t="shared" ca="1" si="131"/>
        <v>49645.648499999996</v>
      </c>
      <c r="S1617" s="513" t="s">
        <v>4964</v>
      </c>
    </row>
    <row r="1618" spans="2:19" ht="84" customHeight="1" x14ac:dyDescent="0.25">
      <c r="B1618" s="862">
        <v>45526</v>
      </c>
      <c r="C1618" s="683">
        <v>45579</v>
      </c>
      <c r="D1618" s="683"/>
      <c r="E1618" s="520" t="s">
        <v>5927</v>
      </c>
      <c r="F1618" s="734" t="s">
        <v>5931</v>
      </c>
      <c r="G1618" s="760" t="s">
        <v>5951</v>
      </c>
      <c r="H1618" s="733" t="s">
        <v>5954</v>
      </c>
      <c r="I1618" s="612" t="s">
        <v>6013</v>
      </c>
      <c r="J1618" s="613" t="s">
        <v>6009</v>
      </c>
      <c r="K1618" s="684">
        <v>60790.59</v>
      </c>
      <c r="L1618" s="543">
        <v>59.4377</v>
      </c>
      <c r="M1618" s="516">
        <f t="shared" si="132"/>
        <v>1022.7614796669453</v>
      </c>
      <c r="N1618" s="587">
        <v>60</v>
      </c>
      <c r="O1618" s="588">
        <f t="shared" si="128"/>
        <v>1013.1764999999999</v>
      </c>
      <c r="P1618" s="735">
        <f t="shared" ca="1" si="130"/>
        <v>11</v>
      </c>
      <c r="Q1618" s="552">
        <f t="shared" ca="1" si="129"/>
        <v>49645.648499999996</v>
      </c>
      <c r="R1618" s="563">
        <f t="shared" ca="1" si="131"/>
        <v>49645.648499999996</v>
      </c>
      <c r="S1618" s="513" t="s">
        <v>4964</v>
      </c>
    </row>
    <row r="1619" spans="2:19" ht="84" customHeight="1" x14ac:dyDescent="0.25">
      <c r="B1619" s="862">
        <v>45526</v>
      </c>
      <c r="C1619" s="683">
        <v>45579</v>
      </c>
      <c r="D1619" s="683"/>
      <c r="E1619" s="520" t="s">
        <v>5927</v>
      </c>
      <c r="F1619" s="734" t="s">
        <v>5930</v>
      </c>
      <c r="G1619" s="760" t="s">
        <v>5951</v>
      </c>
      <c r="H1619" s="733" t="s">
        <v>5956</v>
      </c>
      <c r="I1619" s="612" t="s">
        <v>6013</v>
      </c>
      <c r="J1619" s="613" t="s">
        <v>6009</v>
      </c>
      <c r="K1619" s="684">
        <v>60790.59</v>
      </c>
      <c r="L1619" s="543">
        <v>59.4377</v>
      </c>
      <c r="M1619" s="516">
        <f t="shared" si="132"/>
        <v>1022.7614796669453</v>
      </c>
      <c r="N1619" s="587">
        <v>60</v>
      </c>
      <c r="O1619" s="588">
        <f t="shared" si="128"/>
        <v>1013.1764999999999</v>
      </c>
      <c r="P1619" s="735">
        <f t="shared" ca="1" si="130"/>
        <v>11</v>
      </c>
      <c r="Q1619" s="552">
        <f t="shared" ca="1" si="129"/>
        <v>49645.648499999996</v>
      </c>
      <c r="R1619" s="563">
        <f t="shared" ca="1" si="131"/>
        <v>49645.648499999996</v>
      </c>
      <c r="S1619" s="513" t="s">
        <v>4964</v>
      </c>
    </row>
    <row r="1620" spans="2:19" ht="84" customHeight="1" x14ac:dyDescent="0.25">
      <c r="B1620" s="862">
        <v>45526</v>
      </c>
      <c r="C1620" s="683">
        <v>45579</v>
      </c>
      <c r="D1620" s="683"/>
      <c r="E1620" s="520" t="s">
        <v>5927</v>
      </c>
      <c r="F1620" s="734" t="s">
        <v>5932</v>
      </c>
      <c r="G1620" s="760" t="s">
        <v>5951</v>
      </c>
      <c r="H1620" s="733" t="s">
        <v>5957</v>
      </c>
      <c r="I1620" s="612" t="s">
        <v>6013</v>
      </c>
      <c r="J1620" s="613" t="s">
        <v>6009</v>
      </c>
      <c r="K1620" s="684">
        <v>60790.59</v>
      </c>
      <c r="L1620" s="543">
        <v>59.4377</v>
      </c>
      <c r="M1620" s="516">
        <f t="shared" si="132"/>
        <v>1022.7614796669453</v>
      </c>
      <c r="N1620" s="587">
        <v>60</v>
      </c>
      <c r="O1620" s="588">
        <f t="shared" si="128"/>
        <v>1013.1764999999999</v>
      </c>
      <c r="P1620" s="735">
        <f t="shared" ca="1" si="130"/>
        <v>11</v>
      </c>
      <c r="Q1620" s="552">
        <f t="shared" ca="1" si="129"/>
        <v>49645.648499999996</v>
      </c>
      <c r="R1620" s="563">
        <f t="shared" ca="1" si="131"/>
        <v>49645.648499999996</v>
      </c>
      <c r="S1620" s="513" t="s">
        <v>4964</v>
      </c>
    </row>
    <row r="1621" spans="2:19" ht="84" customHeight="1" x14ac:dyDescent="0.25">
      <c r="B1621" s="862">
        <v>45526</v>
      </c>
      <c r="C1621" s="683">
        <v>45579</v>
      </c>
      <c r="D1621" s="683"/>
      <c r="E1621" s="520" t="s">
        <v>5927</v>
      </c>
      <c r="F1621" s="734" t="s">
        <v>5933</v>
      </c>
      <c r="G1621" s="760" t="s">
        <v>5951</v>
      </c>
      <c r="H1621" s="733" t="s">
        <v>5958</v>
      </c>
      <c r="I1621" s="612" t="s">
        <v>6013</v>
      </c>
      <c r="J1621" s="613" t="s">
        <v>6009</v>
      </c>
      <c r="K1621" s="684">
        <v>60790.59</v>
      </c>
      <c r="L1621" s="543">
        <v>59.4377</v>
      </c>
      <c r="M1621" s="516">
        <f t="shared" si="132"/>
        <v>1022.7614796669453</v>
      </c>
      <c r="N1621" s="587">
        <v>60</v>
      </c>
      <c r="O1621" s="588">
        <f t="shared" si="128"/>
        <v>1013.1764999999999</v>
      </c>
      <c r="P1621" s="735">
        <f t="shared" ca="1" si="130"/>
        <v>11</v>
      </c>
      <c r="Q1621" s="552">
        <f t="shared" ca="1" si="129"/>
        <v>49645.648499999996</v>
      </c>
      <c r="R1621" s="563">
        <f t="shared" ca="1" si="131"/>
        <v>49645.648499999996</v>
      </c>
      <c r="S1621" s="513" t="s">
        <v>4964</v>
      </c>
    </row>
    <row r="1622" spans="2:19" ht="84" customHeight="1" x14ac:dyDescent="0.25">
      <c r="B1622" s="862">
        <v>45526</v>
      </c>
      <c r="C1622" s="683">
        <v>45579</v>
      </c>
      <c r="D1622" s="683"/>
      <c r="E1622" s="520" t="s">
        <v>5927</v>
      </c>
      <c r="F1622" s="734" t="s">
        <v>5934</v>
      </c>
      <c r="G1622" s="760" t="s">
        <v>5951</v>
      </c>
      <c r="H1622" s="733" t="s">
        <v>5959</v>
      </c>
      <c r="I1622" s="612" t="s">
        <v>6013</v>
      </c>
      <c r="J1622" s="613" t="s">
        <v>6009</v>
      </c>
      <c r="K1622" s="684">
        <v>60790.59</v>
      </c>
      <c r="L1622" s="543">
        <v>59.4377</v>
      </c>
      <c r="M1622" s="516">
        <f t="shared" si="132"/>
        <v>1022.7614796669453</v>
      </c>
      <c r="N1622" s="587">
        <v>60</v>
      </c>
      <c r="O1622" s="588">
        <f t="shared" si="128"/>
        <v>1013.1764999999999</v>
      </c>
      <c r="P1622" s="735">
        <f t="shared" ca="1" si="130"/>
        <v>11</v>
      </c>
      <c r="Q1622" s="552">
        <f t="shared" ca="1" si="129"/>
        <v>49645.648499999996</v>
      </c>
      <c r="R1622" s="563">
        <f t="shared" ca="1" si="131"/>
        <v>49645.648499999996</v>
      </c>
      <c r="S1622" s="513" t="s">
        <v>4964</v>
      </c>
    </row>
    <row r="1623" spans="2:19" ht="84" customHeight="1" x14ac:dyDescent="0.25">
      <c r="B1623" s="862">
        <v>45526</v>
      </c>
      <c r="C1623" s="683">
        <v>45579</v>
      </c>
      <c r="D1623" s="683"/>
      <c r="E1623" s="520" t="s">
        <v>5927</v>
      </c>
      <c r="F1623" s="734" t="s">
        <v>5935</v>
      </c>
      <c r="G1623" s="760" t="s">
        <v>5951</v>
      </c>
      <c r="H1623" s="733" t="s">
        <v>5960</v>
      </c>
      <c r="I1623" s="612" t="s">
        <v>6013</v>
      </c>
      <c r="J1623" s="613" t="s">
        <v>6009</v>
      </c>
      <c r="K1623" s="684">
        <v>60790.59</v>
      </c>
      <c r="L1623" s="543">
        <v>59.4377</v>
      </c>
      <c r="M1623" s="516">
        <f t="shared" si="132"/>
        <v>1022.7614796669453</v>
      </c>
      <c r="N1623" s="587">
        <v>60</v>
      </c>
      <c r="O1623" s="588">
        <f t="shared" si="128"/>
        <v>1013.1764999999999</v>
      </c>
      <c r="P1623" s="735">
        <f t="shared" ca="1" si="130"/>
        <v>11</v>
      </c>
      <c r="Q1623" s="552">
        <f t="shared" ca="1" si="129"/>
        <v>49645.648499999996</v>
      </c>
      <c r="R1623" s="563">
        <f t="shared" ca="1" si="131"/>
        <v>49645.648499999996</v>
      </c>
      <c r="S1623" s="513" t="s">
        <v>4964</v>
      </c>
    </row>
    <row r="1624" spans="2:19" ht="84" customHeight="1" x14ac:dyDescent="0.25">
      <c r="B1624" s="862">
        <v>45526</v>
      </c>
      <c r="C1624" s="683">
        <v>45579</v>
      </c>
      <c r="D1624" s="683"/>
      <c r="E1624" s="520" t="s">
        <v>5927</v>
      </c>
      <c r="F1624" s="734" t="s">
        <v>5936</v>
      </c>
      <c r="G1624" s="760" t="s">
        <v>5951</v>
      </c>
      <c r="H1624" s="733" t="s">
        <v>5961</v>
      </c>
      <c r="I1624" s="612" t="s">
        <v>6013</v>
      </c>
      <c r="J1624" s="613" t="s">
        <v>6009</v>
      </c>
      <c r="K1624" s="684">
        <v>60790.59</v>
      </c>
      <c r="L1624" s="543">
        <v>59.4377</v>
      </c>
      <c r="M1624" s="516">
        <f t="shared" si="132"/>
        <v>1022.7614796669453</v>
      </c>
      <c r="N1624" s="587">
        <v>60</v>
      </c>
      <c r="O1624" s="588">
        <f t="shared" si="128"/>
        <v>1013.1764999999999</v>
      </c>
      <c r="P1624" s="735">
        <f t="shared" ca="1" si="130"/>
        <v>11</v>
      </c>
      <c r="Q1624" s="552">
        <f t="shared" ca="1" si="129"/>
        <v>49645.648499999996</v>
      </c>
      <c r="R1624" s="563">
        <f t="shared" ca="1" si="131"/>
        <v>49645.648499999996</v>
      </c>
      <c r="S1624" s="513" t="s">
        <v>4964</v>
      </c>
    </row>
    <row r="1625" spans="2:19" ht="84" customHeight="1" x14ac:dyDescent="0.25">
      <c r="B1625" s="862">
        <v>45526</v>
      </c>
      <c r="C1625" s="683">
        <v>45579</v>
      </c>
      <c r="D1625" s="683"/>
      <c r="E1625" s="520" t="s">
        <v>5927</v>
      </c>
      <c r="F1625" s="734" t="s">
        <v>5937</v>
      </c>
      <c r="G1625" s="760" t="s">
        <v>5951</v>
      </c>
      <c r="H1625" s="733" t="s">
        <v>5962</v>
      </c>
      <c r="I1625" s="612" t="s">
        <v>6013</v>
      </c>
      <c r="J1625" s="613" t="s">
        <v>6009</v>
      </c>
      <c r="K1625" s="684">
        <v>60790.59</v>
      </c>
      <c r="L1625" s="543">
        <v>59.4377</v>
      </c>
      <c r="M1625" s="516">
        <f t="shared" si="132"/>
        <v>1022.7614796669453</v>
      </c>
      <c r="N1625" s="587">
        <v>60</v>
      </c>
      <c r="O1625" s="588">
        <f t="shared" si="128"/>
        <v>1013.1764999999999</v>
      </c>
      <c r="P1625" s="735">
        <f t="shared" ca="1" si="130"/>
        <v>11</v>
      </c>
      <c r="Q1625" s="552">
        <f t="shared" ca="1" si="129"/>
        <v>49645.648499999996</v>
      </c>
      <c r="R1625" s="563">
        <f t="shared" ca="1" si="131"/>
        <v>49645.648499999996</v>
      </c>
      <c r="S1625" s="513" t="s">
        <v>4964</v>
      </c>
    </row>
    <row r="1626" spans="2:19" ht="84" customHeight="1" x14ac:dyDescent="0.25">
      <c r="B1626" s="862">
        <v>45526</v>
      </c>
      <c r="C1626" s="683">
        <v>45579</v>
      </c>
      <c r="D1626" s="683"/>
      <c r="E1626" s="520" t="s">
        <v>5927</v>
      </c>
      <c r="F1626" s="734" t="s">
        <v>5938</v>
      </c>
      <c r="G1626" s="760" t="s">
        <v>5951</v>
      </c>
      <c r="H1626" s="733" t="s">
        <v>5963</v>
      </c>
      <c r="I1626" s="612" t="s">
        <v>6013</v>
      </c>
      <c r="J1626" s="613" t="s">
        <v>6009</v>
      </c>
      <c r="K1626" s="684">
        <v>60790.59</v>
      </c>
      <c r="L1626" s="543">
        <v>59.4377</v>
      </c>
      <c r="M1626" s="516">
        <f t="shared" si="132"/>
        <v>1022.7614796669453</v>
      </c>
      <c r="N1626" s="587">
        <v>60</v>
      </c>
      <c r="O1626" s="588">
        <f t="shared" si="128"/>
        <v>1013.1764999999999</v>
      </c>
      <c r="P1626" s="735">
        <f t="shared" ca="1" si="130"/>
        <v>11</v>
      </c>
      <c r="Q1626" s="552">
        <f t="shared" ca="1" si="129"/>
        <v>49645.648499999996</v>
      </c>
      <c r="R1626" s="563">
        <f t="shared" ca="1" si="131"/>
        <v>49645.648499999996</v>
      </c>
      <c r="S1626" s="513" t="s">
        <v>4964</v>
      </c>
    </row>
    <row r="1627" spans="2:19" ht="84" customHeight="1" x14ac:dyDescent="0.25">
      <c r="B1627" s="862">
        <v>45526</v>
      </c>
      <c r="C1627" s="683">
        <v>45579</v>
      </c>
      <c r="D1627" s="683"/>
      <c r="E1627" s="520" t="s">
        <v>5927</v>
      </c>
      <c r="F1627" s="734" t="s">
        <v>5939</v>
      </c>
      <c r="G1627" s="760" t="s">
        <v>5951</v>
      </c>
      <c r="H1627" s="733" t="s">
        <v>5964</v>
      </c>
      <c r="I1627" s="612" t="s">
        <v>6013</v>
      </c>
      <c r="J1627" s="613" t="s">
        <v>6009</v>
      </c>
      <c r="K1627" s="684">
        <v>60790.59</v>
      </c>
      <c r="L1627" s="543">
        <v>59.4377</v>
      </c>
      <c r="M1627" s="516">
        <f t="shared" si="132"/>
        <v>1022.7614796669453</v>
      </c>
      <c r="N1627" s="587">
        <v>60</v>
      </c>
      <c r="O1627" s="588">
        <f t="shared" si="128"/>
        <v>1013.1764999999999</v>
      </c>
      <c r="P1627" s="735">
        <f t="shared" ca="1" si="130"/>
        <v>11</v>
      </c>
      <c r="Q1627" s="552">
        <f t="shared" ca="1" si="129"/>
        <v>49645.648499999996</v>
      </c>
      <c r="R1627" s="563">
        <f t="shared" ca="1" si="131"/>
        <v>49645.648499999996</v>
      </c>
      <c r="S1627" s="513" t="s">
        <v>4964</v>
      </c>
    </row>
    <row r="1628" spans="2:19" ht="84" customHeight="1" x14ac:dyDescent="0.25">
      <c r="B1628" s="862">
        <v>45526</v>
      </c>
      <c r="C1628" s="683">
        <v>45579</v>
      </c>
      <c r="D1628" s="683"/>
      <c r="E1628" s="520" t="s">
        <v>5927</v>
      </c>
      <c r="F1628" s="734" t="s">
        <v>5940</v>
      </c>
      <c r="G1628" s="760" t="s">
        <v>5951</v>
      </c>
      <c r="H1628" s="733" t="s">
        <v>5965</v>
      </c>
      <c r="I1628" s="612" t="s">
        <v>6013</v>
      </c>
      <c r="J1628" s="613" t="s">
        <v>6009</v>
      </c>
      <c r="K1628" s="684">
        <v>60790.59</v>
      </c>
      <c r="L1628" s="543">
        <v>59.4377</v>
      </c>
      <c r="M1628" s="516">
        <f t="shared" si="132"/>
        <v>1022.7614796669453</v>
      </c>
      <c r="N1628" s="587">
        <v>60</v>
      </c>
      <c r="O1628" s="588">
        <f t="shared" si="128"/>
        <v>1013.1764999999999</v>
      </c>
      <c r="P1628" s="735">
        <f t="shared" ca="1" si="130"/>
        <v>11</v>
      </c>
      <c r="Q1628" s="552">
        <f t="shared" ca="1" si="129"/>
        <v>49645.648499999996</v>
      </c>
      <c r="R1628" s="563">
        <f t="shared" ca="1" si="131"/>
        <v>49645.648499999996</v>
      </c>
      <c r="S1628" s="513" t="s">
        <v>4964</v>
      </c>
    </row>
    <row r="1629" spans="2:19" ht="84" customHeight="1" x14ac:dyDescent="0.25">
      <c r="B1629" s="862">
        <v>45526</v>
      </c>
      <c r="C1629" s="683">
        <v>45579</v>
      </c>
      <c r="D1629" s="683"/>
      <c r="E1629" s="520" t="s">
        <v>5927</v>
      </c>
      <c r="F1629" s="734" t="s">
        <v>5941</v>
      </c>
      <c r="G1629" s="760" t="s">
        <v>5951</v>
      </c>
      <c r="H1629" s="733" t="s">
        <v>5966</v>
      </c>
      <c r="I1629" s="612" t="s">
        <v>6013</v>
      </c>
      <c r="J1629" s="613" t="s">
        <v>6009</v>
      </c>
      <c r="K1629" s="684">
        <v>60790.59</v>
      </c>
      <c r="L1629" s="543">
        <v>59.4377</v>
      </c>
      <c r="M1629" s="516">
        <f t="shared" si="132"/>
        <v>1022.7614796669453</v>
      </c>
      <c r="N1629" s="587">
        <v>60</v>
      </c>
      <c r="O1629" s="588">
        <f t="shared" si="128"/>
        <v>1013.1764999999999</v>
      </c>
      <c r="P1629" s="735">
        <f t="shared" ca="1" si="130"/>
        <v>11</v>
      </c>
      <c r="Q1629" s="552">
        <f t="shared" ca="1" si="129"/>
        <v>49645.648499999996</v>
      </c>
      <c r="R1629" s="563">
        <f t="shared" ca="1" si="131"/>
        <v>49645.648499999996</v>
      </c>
      <c r="S1629" s="513" t="s">
        <v>4964</v>
      </c>
    </row>
    <row r="1630" spans="2:19" ht="84" customHeight="1" x14ac:dyDescent="0.25">
      <c r="B1630" s="862">
        <v>45526</v>
      </c>
      <c r="C1630" s="683">
        <v>45579</v>
      </c>
      <c r="D1630" s="683"/>
      <c r="E1630" s="520" t="s">
        <v>5927</v>
      </c>
      <c r="F1630" s="734" t="s">
        <v>5942</v>
      </c>
      <c r="G1630" s="760" t="s">
        <v>5951</v>
      </c>
      <c r="H1630" s="733" t="s">
        <v>5967</v>
      </c>
      <c r="I1630" s="612" t="s">
        <v>6013</v>
      </c>
      <c r="J1630" s="613" t="s">
        <v>6009</v>
      </c>
      <c r="K1630" s="684">
        <v>60790.59</v>
      </c>
      <c r="L1630" s="543">
        <v>59.4377</v>
      </c>
      <c r="M1630" s="516">
        <f t="shared" si="132"/>
        <v>1022.7614796669453</v>
      </c>
      <c r="N1630" s="587">
        <v>60</v>
      </c>
      <c r="O1630" s="588">
        <f t="shared" si="128"/>
        <v>1013.1764999999999</v>
      </c>
      <c r="P1630" s="735">
        <f t="shared" ca="1" si="130"/>
        <v>11</v>
      </c>
      <c r="Q1630" s="552">
        <f t="shared" ca="1" si="129"/>
        <v>49645.648499999996</v>
      </c>
      <c r="R1630" s="563">
        <f t="shared" ca="1" si="131"/>
        <v>49645.648499999996</v>
      </c>
      <c r="S1630" s="513" t="s">
        <v>4964</v>
      </c>
    </row>
    <row r="1631" spans="2:19" ht="84" customHeight="1" x14ac:dyDescent="0.25">
      <c r="B1631" s="862">
        <v>45526</v>
      </c>
      <c r="C1631" s="683">
        <v>45579</v>
      </c>
      <c r="D1631" s="683"/>
      <c r="E1631" s="520" t="s">
        <v>5927</v>
      </c>
      <c r="F1631" s="734" t="s">
        <v>5943</v>
      </c>
      <c r="G1631" s="760" t="s">
        <v>5951</v>
      </c>
      <c r="H1631" s="733" t="s">
        <v>5968</v>
      </c>
      <c r="I1631" s="612" t="s">
        <v>6013</v>
      </c>
      <c r="J1631" s="613" t="s">
        <v>6009</v>
      </c>
      <c r="K1631" s="684">
        <v>60790.59</v>
      </c>
      <c r="L1631" s="543">
        <v>59.4377</v>
      </c>
      <c r="M1631" s="516">
        <f t="shared" si="132"/>
        <v>1022.7614796669453</v>
      </c>
      <c r="N1631" s="587">
        <v>60</v>
      </c>
      <c r="O1631" s="588">
        <f t="shared" si="128"/>
        <v>1013.1764999999999</v>
      </c>
      <c r="P1631" s="735">
        <f t="shared" ca="1" si="130"/>
        <v>11</v>
      </c>
      <c r="Q1631" s="552">
        <f t="shared" ca="1" si="129"/>
        <v>49645.648499999996</v>
      </c>
      <c r="R1631" s="563">
        <f t="shared" ca="1" si="131"/>
        <v>49645.648499999996</v>
      </c>
      <c r="S1631" s="513" t="s">
        <v>4964</v>
      </c>
    </row>
    <row r="1632" spans="2:19" ht="45.75" customHeight="1" x14ac:dyDescent="0.25">
      <c r="B1632" s="862">
        <v>45526</v>
      </c>
      <c r="C1632" s="683">
        <v>45579</v>
      </c>
      <c r="D1632" s="683"/>
      <c r="E1632" s="520" t="s">
        <v>5927</v>
      </c>
      <c r="F1632" s="734" t="s">
        <v>5944</v>
      </c>
      <c r="G1632" s="760" t="s">
        <v>5951</v>
      </c>
      <c r="H1632" s="733" t="s">
        <v>5969</v>
      </c>
      <c r="I1632" s="612" t="s">
        <v>6013</v>
      </c>
      <c r="J1632" s="613" t="s">
        <v>6009</v>
      </c>
      <c r="K1632" s="684">
        <v>60790.59</v>
      </c>
      <c r="L1632" s="543">
        <v>59.4377</v>
      </c>
      <c r="M1632" s="516">
        <f t="shared" si="132"/>
        <v>1022.7614796669453</v>
      </c>
      <c r="N1632" s="587">
        <v>60</v>
      </c>
      <c r="O1632" s="588">
        <f t="shared" si="128"/>
        <v>1013.1764999999999</v>
      </c>
      <c r="P1632" s="735">
        <f t="shared" ca="1" si="130"/>
        <v>11</v>
      </c>
      <c r="Q1632" s="552">
        <f t="shared" ca="1" si="129"/>
        <v>49645.648499999996</v>
      </c>
      <c r="R1632" s="563">
        <f t="shared" ca="1" si="131"/>
        <v>49645.648499999996</v>
      </c>
      <c r="S1632" s="513" t="s">
        <v>4964</v>
      </c>
    </row>
    <row r="1633" spans="2:19" ht="48" customHeight="1" x14ac:dyDescent="0.25">
      <c r="B1633" s="862">
        <v>45526</v>
      </c>
      <c r="C1633" s="683">
        <v>45579</v>
      </c>
      <c r="D1633" s="683"/>
      <c r="E1633" s="520" t="s">
        <v>5927</v>
      </c>
      <c r="F1633" s="734" t="s">
        <v>5945</v>
      </c>
      <c r="G1633" s="760" t="s">
        <v>5951</v>
      </c>
      <c r="H1633" s="733" t="s">
        <v>5970</v>
      </c>
      <c r="I1633" s="612" t="s">
        <v>6013</v>
      </c>
      <c r="J1633" s="613" t="s">
        <v>6009</v>
      </c>
      <c r="K1633" s="684">
        <v>60790.59</v>
      </c>
      <c r="L1633" s="543">
        <v>59.4377</v>
      </c>
      <c r="M1633" s="516">
        <f t="shared" si="132"/>
        <v>1022.7614796669453</v>
      </c>
      <c r="N1633" s="587">
        <v>60</v>
      </c>
      <c r="O1633" s="588">
        <f t="shared" si="128"/>
        <v>1013.1764999999999</v>
      </c>
      <c r="P1633" s="735">
        <f t="shared" ca="1" si="130"/>
        <v>11</v>
      </c>
      <c r="Q1633" s="552">
        <f t="shared" ca="1" si="129"/>
        <v>49645.648499999996</v>
      </c>
      <c r="R1633" s="563">
        <f t="shared" ca="1" si="131"/>
        <v>49645.648499999996</v>
      </c>
      <c r="S1633" s="513" t="s">
        <v>4964</v>
      </c>
    </row>
    <row r="1634" spans="2:19" ht="52.5" customHeight="1" x14ac:dyDescent="0.25">
      <c r="B1634" s="862">
        <v>45526</v>
      </c>
      <c r="C1634" s="683">
        <v>45579</v>
      </c>
      <c r="D1634" s="683"/>
      <c r="E1634" s="520" t="s">
        <v>5927</v>
      </c>
      <c r="F1634" s="734" t="s">
        <v>5946</v>
      </c>
      <c r="G1634" s="760" t="s">
        <v>5951</v>
      </c>
      <c r="H1634" s="733" t="s">
        <v>5971</v>
      </c>
      <c r="I1634" s="612" t="s">
        <v>6013</v>
      </c>
      <c r="J1634" s="613" t="s">
        <v>6009</v>
      </c>
      <c r="K1634" s="684">
        <v>60790.59</v>
      </c>
      <c r="L1634" s="543">
        <v>59.4377</v>
      </c>
      <c r="M1634" s="516">
        <f t="shared" si="132"/>
        <v>1022.7614796669453</v>
      </c>
      <c r="N1634" s="587">
        <v>60</v>
      </c>
      <c r="O1634" s="588">
        <f t="shared" si="128"/>
        <v>1013.1764999999999</v>
      </c>
      <c r="P1634" s="735">
        <f t="shared" ca="1" si="130"/>
        <v>11</v>
      </c>
      <c r="Q1634" s="552">
        <f t="shared" ca="1" si="129"/>
        <v>49645.648499999996</v>
      </c>
      <c r="R1634" s="563">
        <f t="shared" ca="1" si="131"/>
        <v>49645.648499999996</v>
      </c>
      <c r="S1634" s="513" t="s">
        <v>4964</v>
      </c>
    </row>
    <row r="1635" spans="2:19" ht="50.1" customHeight="1" x14ac:dyDescent="0.25">
      <c r="B1635" s="858">
        <v>45558</v>
      </c>
      <c r="C1635" s="679">
        <v>45652</v>
      </c>
      <c r="D1635" s="679"/>
      <c r="E1635" s="753" t="s">
        <v>6139</v>
      </c>
      <c r="F1635" s="753" t="s">
        <v>6224</v>
      </c>
      <c r="G1635" s="761" t="s">
        <v>6223</v>
      </c>
      <c r="H1635" s="898">
        <v>240611502092</v>
      </c>
      <c r="I1635" s="612" t="s">
        <v>6013</v>
      </c>
      <c r="J1635" s="830" t="s">
        <v>6225</v>
      </c>
      <c r="K1635" s="825">
        <v>2421.54</v>
      </c>
      <c r="L1635" s="826">
        <v>60.216900000000003</v>
      </c>
      <c r="M1635" s="825">
        <f t="shared" si="132"/>
        <v>40.213627735735315</v>
      </c>
      <c r="N1635" s="587">
        <v>60</v>
      </c>
      <c r="O1635" s="588">
        <f t="shared" si="128"/>
        <v>40.359000000000002</v>
      </c>
      <c r="P1635" s="735">
        <f t="shared" ca="1" si="130"/>
        <v>10</v>
      </c>
      <c r="Q1635" s="552">
        <f t="shared" ca="1" si="129"/>
        <v>2017.9499999999998</v>
      </c>
      <c r="R1635" s="563">
        <f t="shared" ca="1" si="131"/>
        <v>2017.9499999999998</v>
      </c>
      <c r="S1635" s="827" t="s">
        <v>4957</v>
      </c>
    </row>
    <row r="1636" spans="2:19" ht="50.1" customHeight="1" x14ac:dyDescent="0.25">
      <c r="B1636" s="858">
        <v>45558</v>
      </c>
      <c r="C1636" s="679">
        <v>45652</v>
      </c>
      <c r="D1636" s="679"/>
      <c r="E1636" s="753" t="s">
        <v>6148</v>
      </c>
      <c r="F1636" s="753" t="s">
        <v>6489</v>
      </c>
      <c r="G1636" s="761" t="s">
        <v>6223</v>
      </c>
      <c r="H1636" s="898">
        <v>240611500880</v>
      </c>
      <c r="I1636" s="613" t="s">
        <v>6226</v>
      </c>
      <c r="J1636" s="830" t="s">
        <v>6225</v>
      </c>
      <c r="K1636" s="825">
        <v>2421.54</v>
      </c>
      <c r="L1636" s="826">
        <v>60.216900000000003</v>
      </c>
      <c r="M1636" s="825">
        <f t="shared" si="132"/>
        <v>40.213627735735315</v>
      </c>
      <c r="N1636" s="587">
        <v>60</v>
      </c>
      <c r="O1636" s="588">
        <f t="shared" si="128"/>
        <v>40.359000000000002</v>
      </c>
      <c r="P1636" s="735">
        <f t="shared" ca="1" si="130"/>
        <v>10</v>
      </c>
      <c r="Q1636" s="552">
        <f t="shared" ca="1" si="129"/>
        <v>2017.9499999999998</v>
      </c>
      <c r="R1636" s="563">
        <f t="shared" ca="1" si="131"/>
        <v>2017.9499999999998</v>
      </c>
      <c r="S1636" s="827" t="s">
        <v>4957</v>
      </c>
    </row>
    <row r="1637" spans="2:19" ht="50.1" customHeight="1" x14ac:dyDescent="0.25">
      <c r="B1637" s="858">
        <v>45558</v>
      </c>
      <c r="C1637" s="679">
        <v>45652</v>
      </c>
      <c r="D1637" s="679"/>
      <c r="E1637" s="753" t="s">
        <v>6149</v>
      </c>
      <c r="F1637" s="753" t="s">
        <v>6490</v>
      </c>
      <c r="G1637" s="761" t="s">
        <v>6223</v>
      </c>
      <c r="H1637" s="898">
        <v>240611501534</v>
      </c>
      <c r="I1637" s="613" t="s">
        <v>6226</v>
      </c>
      <c r="J1637" s="830" t="s">
        <v>6225</v>
      </c>
      <c r="K1637" s="825">
        <v>2421.54</v>
      </c>
      <c r="L1637" s="826">
        <v>60.216900000000003</v>
      </c>
      <c r="M1637" s="825">
        <f t="shared" si="132"/>
        <v>40.213627735735315</v>
      </c>
      <c r="N1637" s="587">
        <v>60</v>
      </c>
      <c r="O1637" s="588">
        <f t="shared" si="128"/>
        <v>40.359000000000002</v>
      </c>
      <c r="P1637" s="735">
        <f t="shared" ca="1" si="130"/>
        <v>10</v>
      </c>
      <c r="Q1637" s="552">
        <f t="shared" ca="1" si="129"/>
        <v>2017.9499999999998</v>
      </c>
      <c r="R1637" s="563">
        <f t="shared" ca="1" si="131"/>
        <v>2017.9499999999998</v>
      </c>
      <c r="S1637" s="827" t="s">
        <v>4957</v>
      </c>
    </row>
    <row r="1638" spans="2:19" ht="50.1" customHeight="1" x14ac:dyDescent="0.25">
      <c r="B1638" s="858">
        <v>45558</v>
      </c>
      <c r="C1638" s="679">
        <v>45652</v>
      </c>
      <c r="D1638" s="679"/>
      <c r="E1638" s="753" t="s">
        <v>6150</v>
      </c>
      <c r="F1638" s="753" t="s">
        <v>6491</v>
      </c>
      <c r="G1638" s="761" t="s">
        <v>6223</v>
      </c>
      <c r="H1638" s="898">
        <v>240611502360</v>
      </c>
      <c r="I1638" s="613" t="s">
        <v>6226</v>
      </c>
      <c r="J1638" s="830" t="s">
        <v>6225</v>
      </c>
      <c r="K1638" s="825">
        <v>2421.54</v>
      </c>
      <c r="L1638" s="826">
        <v>60.216900000000003</v>
      </c>
      <c r="M1638" s="825">
        <f t="shared" si="132"/>
        <v>40.213627735735315</v>
      </c>
      <c r="N1638" s="587">
        <v>60</v>
      </c>
      <c r="O1638" s="588">
        <f t="shared" si="128"/>
        <v>40.359000000000002</v>
      </c>
      <c r="P1638" s="735">
        <f t="shared" ca="1" si="130"/>
        <v>10</v>
      </c>
      <c r="Q1638" s="552">
        <f t="shared" ca="1" si="129"/>
        <v>2017.9499999999998</v>
      </c>
      <c r="R1638" s="563">
        <f t="shared" ca="1" si="131"/>
        <v>2017.9499999999998</v>
      </c>
      <c r="S1638" s="827" t="s">
        <v>4957</v>
      </c>
    </row>
    <row r="1639" spans="2:19" ht="50.1" customHeight="1" x14ac:dyDescent="0.25">
      <c r="B1639" s="858">
        <v>45558</v>
      </c>
      <c r="C1639" s="679">
        <v>45652</v>
      </c>
      <c r="D1639" s="679"/>
      <c r="E1639" s="753" t="s">
        <v>6151</v>
      </c>
      <c r="F1639" s="753" t="s">
        <v>6492</v>
      </c>
      <c r="G1639" s="761" t="s">
        <v>6223</v>
      </c>
      <c r="H1639" s="898">
        <v>240611502403</v>
      </c>
      <c r="I1639" s="613" t="s">
        <v>6226</v>
      </c>
      <c r="J1639" s="830" t="s">
        <v>6225</v>
      </c>
      <c r="K1639" s="825">
        <v>2421.54</v>
      </c>
      <c r="L1639" s="826">
        <v>60.216900000000003</v>
      </c>
      <c r="M1639" s="825">
        <f t="shared" si="132"/>
        <v>40.213627735735315</v>
      </c>
      <c r="N1639" s="587">
        <v>60</v>
      </c>
      <c r="O1639" s="588">
        <f t="shared" si="128"/>
        <v>40.359000000000002</v>
      </c>
      <c r="P1639" s="735">
        <f t="shared" ca="1" si="130"/>
        <v>10</v>
      </c>
      <c r="Q1639" s="552">
        <f t="shared" ca="1" si="129"/>
        <v>2017.9499999999998</v>
      </c>
      <c r="R1639" s="563">
        <f t="shared" ca="1" si="131"/>
        <v>2017.9499999999998</v>
      </c>
      <c r="S1639" s="827" t="s">
        <v>4957</v>
      </c>
    </row>
    <row r="1640" spans="2:19" ht="50.1" customHeight="1" x14ac:dyDescent="0.25">
      <c r="B1640" s="858">
        <v>45558</v>
      </c>
      <c r="C1640" s="679">
        <v>45652</v>
      </c>
      <c r="D1640" s="679"/>
      <c r="E1640" s="753" t="s">
        <v>6152</v>
      </c>
      <c r="F1640" s="753" t="s">
        <v>6493</v>
      </c>
      <c r="G1640" s="761" t="s">
        <v>6223</v>
      </c>
      <c r="H1640" s="898">
        <v>240611501514</v>
      </c>
      <c r="I1640" s="613" t="s">
        <v>6226</v>
      </c>
      <c r="J1640" s="830" t="s">
        <v>6225</v>
      </c>
      <c r="K1640" s="825">
        <v>2421.54</v>
      </c>
      <c r="L1640" s="826">
        <v>60.216900000000003</v>
      </c>
      <c r="M1640" s="825">
        <f t="shared" si="132"/>
        <v>40.213627735735315</v>
      </c>
      <c r="N1640" s="587">
        <v>60</v>
      </c>
      <c r="O1640" s="588">
        <f t="shared" si="128"/>
        <v>40.359000000000002</v>
      </c>
      <c r="P1640" s="735">
        <f t="shared" ca="1" si="130"/>
        <v>10</v>
      </c>
      <c r="Q1640" s="552">
        <f t="shared" ca="1" si="129"/>
        <v>2017.9499999999998</v>
      </c>
      <c r="R1640" s="563">
        <f t="shared" ca="1" si="131"/>
        <v>2017.9499999999998</v>
      </c>
      <c r="S1640" s="827" t="s">
        <v>4957</v>
      </c>
    </row>
    <row r="1641" spans="2:19" ht="50.1" customHeight="1" x14ac:dyDescent="0.25">
      <c r="B1641" s="858">
        <v>45558</v>
      </c>
      <c r="C1641" s="679">
        <v>45652</v>
      </c>
      <c r="D1641" s="679"/>
      <c r="E1641" s="753" t="s">
        <v>6153</v>
      </c>
      <c r="F1641" s="753" t="s">
        <v>6494</v>
      </c>
      <c r="G1641" s="761" t="s">
        <v>6223</v>
      </c>
      <c r="H1641" s="898">
        <v>240611502398</v>
      </c>
      <c r="I1641" s="613" t="s">
        <v>6226</v>
      </c>
      <c r="J1641" s="830" t="s">
        <v>6225</v>
      </c>
      <c r="K1641" s="825">
        <v>2421.54</v>
      </c>
      <c r="L1641" s="826">
        <v>60.216900000000003</v>
      </c>
      <c r="M1641" s="825">
        <f t="shared" si="132"/>
        <v>40.213627735735315</v>
      </c>
      <c r="N1641" s="587">
        <v>60</v>
      </c>
      <c r="O1641" s="588">
        <f t="shared" si="128"/>
        <v>40.359000000000002</v>
      </c>
      <c r="P1641" s="735">
        <f t="shared" ca="1" si="130"/>
        <v>10</v>
      </c>
      <c r="Q1641" s="552">
        <f t="shared" ca="1" si="129"/>
        <v>2017.9499999999998</v>
      </c>
      <c r="R1641" s="563">
        <f t="shared" ca="1" si="131"/>
        <v>2017.9499999999998</v>
      </c>
      <c r="S1641" s="827" t="s">
        <v>4957</v>
      </c>
    </row>
    <row r="1642" spans="2:19" ht="50.1" customHeight="1" x14ac:dyDescent="0.25">
      <c r="B1642" s="858">
        <v>45558</v>
      </c>
      <c r="C1642" s="679">
        <v>45652</v>
      </c>
      <c r="D1642" s="679"/>
      <c r="E1642" s="753" t="s">
        <v>6154</v>
      </c>
      <c r="F1642" s="753" t="s">
        <v>6495</v>
      </c>
      <c r="G1642" s="761" t="s">
        <v>6223</v>
      </c>
      <c r="H1642" s="898">
        <v>240611502421</v>
      </c>
      <c r="I1642" s="613" t="s">
        <v>6226</v>
      </c>
      <c r="J1642" s="830" t="s">
        <v>6225</v>
      </c>
      <c r="K1642" s="825">
        <v>2421.54</v>
      </c>
      <c r="L1642" s="826">
        <v>60.216900000000003</v>
      </c>
      <c r="M1642" s="825">
        <f t="shared" si="132"/>
        <v>40.213627735735315</v>
      </c>
      <c r="N1642" s="587">
        <v>60</v>
      </c>
      <c r="O1642" s="588">
        <f t="shared" si="128"/>
        <v>40.359000000000002</v>
      </c>
      <c r="P1642" s="735">
        <f t="shared" ca="1" si="130"/>
        <v>10</v>
      </c>
      <c r="Q1642" s="552">
        <f t="shared" ca="1" si="129"/>
        <v>2017.9499999999998</v>
      </c>
      <c r="R1642" s="563">
        <f t="shared" ca="1" si="131"/>
        <v>2017.9499999999998</v>
      </c>
      <c r="S1642" s="827" t="s">
        <v>4957</v>
      </c>
    </row>
    <row r="1643" spans="2:19" ht="50.1" customHeight="1" x14ac:dyDescent="0.25">
      <c r="B1643" s="858">
        <v>45558</v>
      </c>
      <c r="C1643" s="679">
        <v>45652</v>
      </c>
      <c r="D1643" s="679"/>
      <c r="E1643" s="753" t="s">
        <v>6155</v>
      </c>
      <c r="F1643" s="753" t="s">
        <v>6496</v>
      </c>
      <c r="G1643" s="761" t="s">
        <v>6223</v>
      </c>
      <c r="H1643" s="898">
        <v>240611502176</v>
      </c>
      <c r="I1643" s="613" t="s">
        <v>6226</v>
      </c>
      <c r="J1643" s="830" t="s">
        <v>6225</v>
      </c>
      <c r="K1643" s="825">
        <v>2421.54</v>
      </c>
      <c r="L1643" s="826">
        <v>60.216900000000003</v>
      </c>
      <c r="M1643" s="825">
        <f t="shared" si="132"/>
        <v>40.213627735735315</v>
      </c>
      <c r="N1643" s="587">
        <v>60</v>
      </c>
      <c r="O1643" s="588">
        <f t="shared" si="128"/>
        <v>40.359000000000002</v>
      </c>
      <c r="P1643" s="735">
        <f t="shared" ca="1" si="130"/>
        <v>10</v>
      </c>
      <c r="Q1643" s="552">
        <f t="shared" ca="1" si="129"/>
        <v>2017.9499999999998</v>
      </c>
      <c r="R1643" s="563">
        <f t="shared" ca="1" si="131"/>
        <v>2017.9499999999998</v>
      </c>
      <c r="S1643" s="827" t="s">
        <v>4957</v>
      </c>
    </row>
    <row r="1644" spans="2:19" ht="50.1" customHeight="1" x14ac:dyDescent="0.25">
      <c r="B1644" s="858">
        <v>45558</v>
      </c>
      <c r="C1644" s="679">
        <v>45652</v>
      </c>
      <c r="D1644" s="679"/>
      <c r="E1644" s="753" t="s">
        <v>6156</v>
      </c>
      <c r="F1644" s="753" t="s">
        <v>6497</v>
      </c>
      <c r="G1644" s="761" t="s">
        <v>6223</v>
      </c>
      <c r="H1644" s="898">
        <v>240611500956</v>
      </c>
      <c r="I1644" s="613" t="s">
        <v>6226</v>
      </c>
      <c r="J1644" s="830" t="s">
        <v>6225</v>
      </c>
      <c r="K1644" s="825">
        <v>2421.54</v>
      </c>
      <c r="L1644" s="826">
        <v>60.216900000000003</v>
      </c>
      <c r="M1644" s="825">
        <f t="shared" si="132"/>
        <v>40.213627735735315</v>
      </c>
      <c r="N1644" s="587">
        <v>60</v>
      </c>
      <c r="O1644" s="588">
        <f t="shared" si="128"/>
        <v>40.359000000000002</v>
      </c>
      <c r="P1644" s="735">
        <f t="shared" ca="1" si="130"/>
        <v>10</v>
      </c>
      <c r="Q1644" s="552">
        <f t="shared" ca="1" si="129"/>
        <v>2017.9499999999998</v>
      </c>
      <c r="R1644" s="563">
        <f t="shared" ca="1" si="131"/>
        <v>2017.9499999999998</v>
      </c>
      <c r="S1644" s="827" t="s">
        <v>4957</v>
      </c>
    </row>
    <row r="1645" spans="2:19" ht="50.1" customHeight="1" x14ac:dyDescent="0.25">
      <c r="B1645" s="858">
        <v>45558</v>
      </c>
      <c r="C1645" s="679">
        <v>45652</v>
      </c>
      <c r="D1645" s="679"/>
      <c r="E1645" s="753" t="s">
        <v>6157</v>
      </c>
      <c r="F1645" s="753" t="s">
        <v>6498</v>
      </c>
      <c r="G1645" s="761" t="s">
        <v>6223</v>
      </c>
      <c r="H1645" s="898">
        <v>240611501742</v>
      </c>
      <c r="I1645" s="613" t="s">
        <v>6226</v>
      </c>
      <c r="J1645" s="830" t="s">
        <v>6225</v>
      </c>
      <c r="K1645" s="825">
        <v>2421.54</v>
      </c>
      <c r="L1645" s="826">
        <v>60.216900000000003</v>
      </c>
      <c r="M1645" s="825">
        <f t="shared" si="132"/>
        <v>40.213627735735315</v>
      </c>
      <c r="N1645" s="587">
        <v>60</v>
      </c>
      <c r="O1645" s="588">
        <f t="shared" si="128"/>
        <v>40.359000000000002</v>
      </c>
      <c r="P1645" s="735">
        <f t="shared" ca="1" si="130"/>
        <v>10</v>
      </c>
      <c r="Q1645" s="552">
        <f t="shared" ca="1" si="129"/>
        <v>2017.9499999999998</v>
      </c>
      <c r="R1645" s="563">
        <f t="shared" ca="1" si="131"/>
        <v>2017.9499999999998</v>
      </c>
      <c r="S1645" s="827" t="s">
        <v>4957</v>
      </c>
    </row>
    <row r="1646" spans="2:19" ht="50.1" customHeight="1" x14ac:dyDescent="0.25">
      <c r="B1646" s="858">
        <v>45558</v>
      </c>
      <c r="C1646" s="679">
        <v>45652</v>
      </c>
      <c r="D1646" s="679"/>
      <c r="E1646" s="753" t="s">
        <v>6158</v>
      </c>
      <c r="F1646" s="753" t="s">
        <v>6499</v>
      </c>
      <c r="G1646" s="761" t="s">
        <v>6223</v>
      </c>
      <c r="H1646" s="898">
        <v>240611502100</v>
      </c>
      <c r="I1646" s="613" t="s">
        <v>6226</v>
      </c>
      <c r="J1646" s="830" t="s">
        <v>6225</v>
      </c>
      <c r="K1646" s="825">
        <v>2421.54</v>
      </c>
      <c r="L1646" s="826">
        <v>60.216900000000003</v>
      </c>
      <c r="M1646" s="825">
        <f t="shared" si="132"/>
        <v>40.213627735735315</v>
      </c>
      <c r="N1646" s="587">
        <v>60</v>
      </c>
      <c r="O1646" s="588">
        <f t="shared" si="128"/>
        <v>40.359000000000002</v>
      </c>
      <c r="P1646" s="735">
        <f t="shared" ca="1" si="130"/>
        <v>10</v>
      </c>
      <c r="Q1646" s="552">
        <f t="shared" ca="1" si="129"/>
        <v>2017.9499999999998</v>
      </c>
      <c r="R1646" s="563">
        <f t="shared" ca="1" si="131"/>
        <v>2017.9499999999998</v>
      </c>
      <c r="S1646" s="827" t="s">
        <v>4957</v>
      </c>
    </row>
    <row r="1647" spans="2:19" ht="50.1" customHeight="1" x14ac:dyDescent="0.25">
      <c r="B1647" s="858">
        <v>45558</v>
      </c>
      <c r="C1647" s="679">
        <v>45652</v>
      </c>
      <c r="D1647" s="679"/>
      <c r="E1647" s="753" t="s">
        <v>6159</v>
      </c>
      <c r="F1647" s="753" t="s">
        <v>6500</v>
      </c>
      <c r="G1647" s="761" t="s">
        <v>6223</v>
      </c>
      <c r="H1647" s="898">
        <v>240611502141</v>
      </c>
      <c r="I1647" s="613" t="s">
        <v>6226</v>
      </c>
      <c r="J1647" s="830" t="s">
        <v>6225</v>
      </c>
      <c r="K1647" s="825">
        <v>2421.54</v>
      </c>
      <c r="L1647" s="826">
        <v>60.216900000000003</v>
      </c>
      <c r="M1647" s="825">
        <f t="shared" si="132"/>
        <v>40.213627735735315</v>
      </c>
      <c r="N1647" s="587">
        <v>60</v>
      </c>
      <c r="O1647" s="588">
        <f t="shared" si="128"/>
        <v>40.359000000000002</v>
      </c>
      <c r="P1647" s="735">
        <f t="shared" ca="1" si="130"/>
        <v>10</v>
      </c>
      <c r="Q1647" s="552">
        <f t="shared" ca="1" si="129"/>
        <v>2017.9499999999998</v>
      </c>
      <c r="R1647" s="563">
        <f t="shared" ca="1" si="131"/>
        <v>2017.9499999999998</v>
      </c>
      <c r="S1647" s="827" t="s">
        <v>4957</v>
      </c>
    </row>
    <row r="1648" spans="2:19" ht="50.1" customHeight="1" x14ac:dyDescent="0.25">
      <c r="B1648" s="858">
        <v>45558</v>
      </c>
      <c r="C1648" s="679">
        <v>45652</v>
      </c>
      <c r="D1648" s="679"/>
      <c r="E1648" s="753" t="s">
        <v>6160</v>
      </c>
      <c r="F1648" s="753" t="s">
        <v>6501</v>
      </c>
      <c r="G1648" s="761" t="s">
        <v>6223</v>
      </c>
      <c r="H1648" s="898">
        <v>240611500877</v>
      </c>
      <c r="I1648" s="613" t="s">
        <v>6226</v>
      </c>
      <c r="J1648" s="830" t="s">
        <v>6225</v>
      </c>
      <c r="K1648" s="825">
        <v>2421.54</v>
      </c>
      <c r="L1648" s="826">
        <v>60.216900000000003</v>
      </c>
      <c r="M1648" s="825">
        <f t="shared" si="132"/>
        <v>40.213627735735315</v>
      </c>
      <c r="N1648" s="587">
        <v>60</v>
      </c>
      <c r="O1648" s="588">
        <f t="shared" si="128"/>
        <v>40.359000000000002</v>
      </c>
      <c r="P1648" s="735">
        <f t="shared" ca="1" si="130"/>
        <v>10</v>
      </c>
      <c r="Q1648" s="552">
        <f t="shared" ca="1" si="129"/>
        <v>2017.9499999999998</v>
      </c>
      <c r="R1648" s="563">
        <f t="shared" ca="1" si="131"/>
        <v>2017.9499999999998</v>
      </c>
      <c r="S1648" s="827" t="s">
        <v>4957</v>
      </c>
    </row>
    <row r="1649" spans="2:19" ht="50.1" customHeight="1" x14ac:dyDescent="0.25">
      <c r="B1649" s="858">
        <v>45558</v>
      </c>
      <c r="C1649" s="679">
        <v>45652</v>
      </c>
      <c r="D1649" s="679"/>
      <c r="E1649" s="753" t="s">
        <v>6161</v>
      </c>
      <c r="F1649" s="753" t="s">
        <v>6502</v>
      </c>
      <c r="G1649" s="761" t="s">
        <v>6223</v>
      </c>
      <c r="H1649" s="898">
        <v>240611501536</v>
      </c>
      <c r="I1649" s="613" t="s">
        <v>6226</v>
      </c>
      <c r="J1649" s="830" t="s">
        <v>6225</v>
      </c>
      <c r="K1649" s="825">
        <v>2421.54</v>
      </c>
      <c r="L1649" s="826">
        <v>60.216900000000003</v>
      </c>
      <c r="M1649" s="825">
        <f t="shared" si="132"/>
        <v>40.213627735735315</v>
      </c>
      <c r="N1649" s="587">
        <v>60</v>
      </c>
      <c r="O1649" s="588">
        <f t="shared" si="128"/>
        <v>40.359000000000002</v>
      </c>
      <c r="P1649" s="735">
        <f t="shared" ca="1" si="130"/>
        <v>10</v>
      </c>
      <c r="Q1649" s="552">
        <f t="shared" ca="1" si="129"/>
        <v>2017.9499999999998</v>
      </c>
      <c r="R1649" s="563">
        <f t="shared" ca="1" si="131"/>
        <v>2017.9499999999998</v>
      </c>
      <c r="S1649" s="827" t="s">
        <v>4957</v>
      </c>
    </row>
    <row r="1650" spans="2:19" ht="50.1" customHeight="1" x14ac:dyDescent="0.25">
      <c r="B1650" s="858">
        <v>45558</v>
      </c>
      <c r="C1650" s="679">
        <v>45652</v>
      </c>
      <c r="D1650" s="679"/>
      <c r="E1650" s="753" t="s">
        <v>6162</v>
      </c>
      <c r="F1650" s="753" t="s">
        <v>6503</v>
      </c>
      <c r="G1650" s="761" t="s">
        <v>6223</v>
      </c>
      <c r="H1650" s="898">
        <v>240611501502</v>
      </c>
      <c r="I1650" s="613" t="s">
        <v>6226</v>
      </c>
      <c r="J1650" s="830" t="s">
        <v>6225</v>
      </c>
      <c r="K1650" s="825">
        <v>2421.54</v>
      </c>
      <c r="L1650" s="826">
        <v>60.216900000000003</v>
      </c>
      <c r="M1650" s="825">
        <f t="shared" si="132"/>
        <v>40.213627735735315</v>
      </c>
      <c r="N1650" s="587">
        <v>60</v>
      </c>
      <c r="O1650" s="588">
        <f t="shared" si="128"/>
        <v>40.359000000000002</v>
      </c>
      <c r="P1650" s="735">
        <f t="shared" ca="1" si="130"/>
        <v>10</v>
      </c>
      <c r="Q1650" s="552">
        <f t="shared" ca="1" si="129"/>
        <v>2017.9499999999998</v>
      </c>
      <c r="R1650" s="563">
        <f t="shared" ca="1" si="131"/>
        <v>2017.9499999999998</v>
      </c>
      <c r="S1650" s="827" t="s">
        <v>4957</v>
      </c>
    </row>
    <row r="1651" spans="2:19" ht="50.1" customHeight="1" x14ac:dyDescent="0.25">
      <c r="B1651" s="858">
        <v>45558</v>
      </c>
      <c r="C1651" s="679">
        <v>45652</v>
      </c>
      <c r="D1651" s="679"/>
      <c r="E1651" s="753" t="s">
        <v>6163</v>
      </c>
      <c r="F1651" s="753" t="s">
        <v>6504</v>
      </c>
      <c r="G1651" s="761" t="s">
        <v>6223</v>
      </c>
      <c r="H1651" s="898">
        <v>240611502401</v>
      </c>
      <c r="I1651" s="613" t="s">
        <v>6226</v>
      </c>
      <c r="J1651" s="830" t="s">
        <v>6225</v>
      </c>
      <c r="K1651" s="825">
        <v>2421.54</v>
      </c>
      <c r="L1651" s="826">
        <v>60.216900000000003</v>
      </c>
      <c r="M1651" s="825">
        <f t="shared" si="132"/>
        <v>40.213627735735315</v>
      </c>
      <c r="N1651" s="587">
        <v>60</v>
      </c>
      <c r="O1651" s="588">
        <f t="shared" si="128"/>
        <v>40.359000000000002</v>
      </c>
      <c r="P1651" s="735">
        <f t="shared" ca="1" si="130"/>
        <v>10</v>
      </c>
      <c r="Q1651" s="552">
        <f t="shared" ca="1" si="129"/>
        <v>2017.9499999999998</v>
      </c>
      <c r="R1651" s="563">
        <f t="shared" ca="1" si="131"/>
        <v>2017.9499999999998</v>
      </c>
      <c r="S1651" s="827" t="s">
        <v>4957</v>
      </c>
    </row>
    <row r="1652" spans="2:19" ht="50.1" customHeight="1" x14ac:dyDescent="0.25">
      <c r="B1652" s="858">
        <v>45558</v>
      </c>
      <c r="C1652" s="679">
        <v>45652</v>
      </c>
      <c r="D1652" s="679"/>
      <c r="E1652" s="753" t="s">
        <v>6164</v>
      </c>
      <c r="F1652" s="753" t="s">
        <v>6505</v>
      </c>
      <c r="G1652" s="761" t="s">
        <v>6223</v>
      </c>
      <c r="H1652" s="898">
        <v>240611501515</v>
      </c>
      <c r="I1652" s="613" t="s">
        <v>6226</v>
      </c>
      <c r="J1652" s="830" t="s">
        <v>6225</v>
      </c>
      <c r="K1652" s="825">
        <v>2421.54</v>
      </c>
      <c r="L1652" s="826">
        <v>60.216900000000003</v>
      </c>
      <c r="M1652" s="825">
        <f t="shared" si="132"/>
        <v>40.213627735735315</v>
      </c>
      <c r="N1652" s="587">
        <v>60</v>
      </c>
      <c r="O1652" s="588">
        <f t="shared" si="128"/>
        <v>40.359000000000002</v>
      </c>
      <c r="P1652" s="735">
        <f t="shared" ca="1" si="130"/>
        <v>10</v>
      </c>
      <c r="Q1652" s="552">
        <f t="shared" ca="1" si="129"/>
        <v>2017.9499999999998</v>
      </c>
      <c r="R1652" s="563">
        <f t="shared" ca="1" si="131"/>
        <v>2017.9499999999998</v>
      </c>
      <c r="S1652" s="827" t="s">
        <v>4957</v>
      </c>
    </row>
    <row r="1653" spans="2:19" ht="50.1" customHeight="1" x14ac:dyDescent="0.25">
      <c r="B1653" s="858">
        <v>45558</v>
      </c>
      <c r="C1653" s="679">
        <v>45652</v>
      </c>
      <c r="D1653" s="679"/>
      <c r="E1653" s="753" t="s">
        <v>6165</v>
      </c>
      <c r="F1653" s="753" t="s">
        <v>6506</v>
      </c>
      <c r="G1653" s="761" t="s">
        <v>6223</v>
      </c>
      <c r="H1653" s="898">
        <v>240611502400</v>
      </c>
      <c r="I1653" s="613" t="s">
        <v>6226</v>
      </c>
      <c r="J1653" s="830" t="s">
        <v>6225</v>
      </c>
      <c r="K1653" s="825">
        <v>2421.54</v>
      </c>
      <c r="L1653" s="826">
        <v>60.216900000000003</v>
      </c>
      <c r="M1653" s="825">
        <f t="shared" si="132"/>
        <v>40.213627735735315</v>
      </c>
      <c r="N1653" s="587">
        <v>60</v>
      </c>
      <c r="O1653" s="588">
        <f t="shared" ref="O1653:O1716" si="133">+K1653/N1653</f>
        <v>40.359000000000002</v>
      </c>
      <c r="P1653" s="735">
        <f t="shared" ca="1" si="130"/>
        <v>10</v>
      </c>
      <c r="Q1653" s="552">
        <f t="shared" ca="1" si="129"/>
        <v>2017.9499999999998</v>
      </c>
      <c r="R1653" s="563">
        <f t="shared" ca="1" si="131"/>
        <v>2017.9499999999998</v>
      </c>
      <c r="S1653" s="827" t="s">
        <v>4957</v>
      </c>
    </row>
    <row r="1654" spans="2:19" ht="50.1" customHeight="1" x14ac:dyDescent="0.25">
      <c r="B1654" s="858">
        <v>45558</v>
      </c>
      <c r="C1654" s="679">
        <v>45652</v>
      </c>
      <c r="D1654" s="679"/>
      <c r="E1654" s="753" t="s">
        <v>6166</v>
      </c>
      <c r="F1654" s="753" t="s">
        <v>6507</v>
      </c>
      <c r="G1654" s="761" t="s">
        <v>6223</v>
      </c>
      <c r="H1654" s="898">
        <v>240611501606</v>
      </c>
      <c r="I1654" s="613" t="s">
        <v>6226</v>
      </c>
      <c r="J1654" s="830" t="s">
        <v>6225</v>
      </c>
      <c r="K1654" s="825">
        <v>2421.54</v>
      </c>
      <c r="L1654" s="826">
        <v>60.216900000000003</v>
      </c>
      <c r="M1654" s="825">
        <f t="shared" si="132"/>
        <v>40.213627735735315</v>
      </c>
      <c r="N1654" s="587">
        <v>60</v>
      </c>
      <c r="O1654" s="588">
        <f t="shared" si="133"/>
        <v>40.359000000000002</v>
      </c>
      <c r="P1654" s="735">
        <f t="shared" ca="1" si="130"/>
        <v>10</v>
      </c>
      <c r="Q1654" s="552">
        <f t="shared" ca="1" si="129"/>
        <v>2017.9499999999998</v>
      </c>
      <c r="R1654" s="563">
        <f t="shared" ca="1" si="131"/>
        <v>2017.9499999999998</v>
      </c>
      <c r="S1654" s="827" t="s">
        <v>4957</v>
      </c>
    </row>
    <row r="1655" spans="2:19" ht="50.1" customHeight="1" x14ac:dyDescent="0.25">
      <c r="B1655" s="858">
        <v>45558</v>
      </c>
      <c r="C1655" s="679">
        <v>45652</v>
      </c>
      <c r="D1655" s="679"/>
      <c r="E1655" s="753" t="s">
        <v>6167</v>
      </c>
      <c r="F1655" s="753" t="s">
        <v>6508</v>
      </c>
      <c r="G1655" s="761" t="s">
        <v>6223</v>
      </c>
      <c r="H1655" s="898">
        <v>240611502174</v>
      </c>
      <c r="I1655" s="613" t="s">
        <v>6226</v>
      </c>
      <c r="J1655" s="830" t="s">
        <v>6225</v>
      </c>
      <c r="K1655" s="825">
        <v>2421.54</v>
      </c>
      <c r="L1655" s="826">
        <v>60.216900000000003</v>
      </c>
      <c r="M1655" s="825">
        <f t="shared" si="132"/>
        <v>40.213627735735315</v>
      </c>
      <c r="N1655" s="587">
        <v>60</v>
      </c>
      <c r="O1655" s="588">
        <f t="shared" si="133"/>
        <v>40.359000000000002</v>
      </c>
      <c r="P1655" s="735">
        <f t="shared" ca="1" si="130"/>
        <v>10</v>
      </c>
      <c r="Q1655" s="552">
        <f t="shared" ca="1" si="129"/>
        <v>2017.9499999999998</v>
      </c>
      <c r="R1655" s="563">
        <f t="shared" ca="1" si="131"/>
        <v>2017.9499999999998</v>
      </c>
      <c r="S1655" s="827" t="s">
        <v>4957</v>
      </c>
    </row>
    <row r="1656" spans="2:19" ht="50.1" customHeight="1" x14ac:dyDescent="0.25">
      <c r="B1656" s="858">
        <v>45558</v>
      </c>
      <c r="C1656" s="679">
        <v>45652</v>
      </c>
      <c r="D1656" s="679"/>
      <c r="E1656" s="753" t="s">
        <v>6168</v>
      </c>
      <c r="F1656" s="753" t="s">
        <v>6509</v>
      </c>
      <c r="G1656" s="761" t="s">
        <v>6223</v>
      </c>
      <c r="H1656" s="898">
        <v>240611500955</v>
      </c>
      <c r="I1656" s="613" t="s">
        <v>6226</v>
      </c>
      <c r="J1656" s="830" t="s">
        <v>6225</v>
      </c>
      <c r="K1656" s="825">
        <v>2421.54</v>
      </c>
      <c r="L1656" s="826">
        <v>60.216900000000003</v>
      </c>
      <c r="M1656" s="825">
        <f t="shared" si="132"/>
        <v>40.213627735735315</v>
      </c>
      <c r="N1656" s="587">
        <v>60</v>
      </c>
      <c r="O1656" s="588">
        <f t="shared" si="133"/>
        <v>40.359000000000002</v>
      </c>
      <c r="P1656" s="735">
        <f t="shared" ca="1" si="130"/>
        <v>10</v>
      </c>
      <c r="Q1656" s="552">
        <f t="shared" ca="1" si="129"/>
        <v>2017.9499999999998</v>
      </c>
      <c r="R1656" s="563">
        <f t="shared" ca="1" si="131"/>
        <v>2017.9499999999998</v>
      </c>
      <c r="S1656" s="827" t="s">
        <v>4957</v>
      </c>
    </row>
    <row r="1657" spans="2:19" ht="50.1" customHeight="1" x14ac:dyDescent="0.25">
      <c r="B1657" s="858">
        <v>45558</v>
      </c>
      <c r="C1657" s="679">
        <v>45652</v>
      </c>
      <c r="D1657" s="679"/>
      <c r="E1657" s="753" t="s">
        <v>6169</v>
      </c>
      <c r="F1657" s="753" t="s">
        <v>6510</v>
      </c>
      <c r="G1657" s="761" t="s">
        <v>6223</v>
      </c>
      <c r="H1657" s="898">
        <v>240611501744</v>
      </c>
      <c r="I1657" s="613" t="s">
        <v>6226</v>
      </c>
      <c r="J1657" s="830" t="s">
        <v>6225</v>
      </c>
      <c r="K1657" s="825">
        <v>2421.54</v>
      </c>
      <c r="L1657" s="826">
        <v>60.216900000000003</v>
      </c>
      <c r="M1657" s="825">
        <f t="shared" si="132"/>
        <v>40.213627735735315</v>
      </c>
      <c r="N1657" s="587">
        <v>60</v>
      </c>
      <c r="O1657" s="588">
        <f t="shared" si="133"/>
        <v>40.359000000000002</v>
      </c>
      <c r="P1657" s="735">
        <f t="shared" ca="1" si="130"/>
        <v>10</v>
      </c>
      <c r="Q1657" s="552">
        <f t="shared" ca="1" si="129"/>
        <v>2017.9499999999998</v>
      </c>
      <c r="R1657" s="563">
        <f t="shared" ca="1" si="131"/>
        <v>2017.9499999999998</v>
      </c>
      <c r="S1657" s="827" t="s">
        <v>4957</v>
      </c>
    </row>
    <row r="1658" spans="2:19" ht="50.1" customHeight="1" x14ac:dyDescent="0.25">
      <c r="B1658" s="858">
        <v>45558</v>
      </c>
      <c r="C1658" s="679">
        <v>45652</v>
      </c>
      <c r="D1658" s="679"/>
      <c r="E1658" s="753" t="s">
        <v>6170</v>
      </c>
      <c r="F1658" s="753" t="s">
        <v>6511</v>
      </c>
      <c r="G1658" s="761" t="s">
        <v>6223</v>
      </c>
      <c r="H1658" s="898">
        <v>240611502370</v>
      </c>
      <c r="I1658" s="613" t="s">
        <v>6226</v>
      </c>
      <c r="J1658" s="830" t="s">
        <v>6225</v>
      </c>
      <c r="K1658" s="825">
        <v>2421.54</v>
      </c>
      <c r="L1658" s="826">
        <v>60.216900000000003</v>
      </c>
      <c r="M1658" s="825">
        <f t="shared" si="132"/>
        <v>40.213627735735315</v>
      </c>
      <c r="N1658" s="587">
        <v>60</v>
      </c>
      <c r="O1658" s="588">
        <f t="shared" si="133"/>
        <v>40.359000000000002</v>
      </c>
      <c r="P1658" s="735">
        <f t="shared" ca="1" si="130"/>
        <v>10</v>
      </c>
      <c r="Q1658" s="552">
        <f t="shared" ca="1" si="129"/>
        <v>2017.9499999999998</v>
      </c>
      <c r="R1658" s="563">
        <f t="shared" ca="1" si="131"/>
        <v>2017.9499999999998</v>
      </c>
      <c r="S1658" s="827" t="s">
        <v>4957</v>
      </c>
    </row>
    <row r="1659" spans="2:19" ht="50.1" customHeight="1" x14ac:dyDescent="0.25">
      <c r="B1659" s="858">
        <v>45558</v>
      </c>
      <c r="C1659" s="679">
        <v>45652</v>
      </c>
      <c r="D1659" s="679"/>
      <c r="E1659" s="753" t="s">
        <v>6171</v>
      </c>
      <c r="F1659" s="753" t="s">
        <v>6512</v>
      </c>
      <c r="G1659" s="761" t="s">
        <v>6223</v>
      </c>
      <c r="H1659" s="898">
        <v>240611501182</v>
      </c>
      <c r="I1659" s="613" t="s">
        <v>6226</v>
      </c>
      <c r="J1659" s="830" t="s">
        <v>6225</v>
      </c>
      <c r="K1659" s="825">
        <v>2421.54</v>
      </c>
      <c r="L1659" s="826">
        <v>60.216900000000003</v>
      </c>
      <c r="M1659" s="825">
        <f t="shared" si="132"/>
        <v>40.213627735735315</v>
      </c>
      <c r="N1659" s="587">
        <v>60</v>
      </c>
      <c r="O1659" s="588">
        <f t="shared" si="133"/>
        <v>40.359000000000002</v>
      </c>
      <c r="P1659" s="735">
        <f t="shared" ca="1" si="130"/>
        <v>10</v>
      </c>
      <c r="Q1659" s="552">
        <f t="shared" ca="1" si="129"/>
        <v>2017.9499999999998</v>
      </c>
      <c r="R1659" s="563">
        <f t="shared" ca="1" si="131"/>
        <v>2017.9499999999998</v>
      </c>
      <c r="S1659" s="827" t="s">
        <v>4957</v>
      </c>
    </row>
    <row r="1660" spans="2:19" ht="50.1" customHeight="1" x14ac:dyDescent="0.25">
      <c r="B1660" s="858">
        <v>45558</v>
      </c>
      <c r="C1660" s="679">
        <v>45652</v>
      </c>
      <c r="D1660" s="679"/>
      <c r="E1660" s="753" t="s">
        <v>6172</v>
      </c>
      <c r="F1660" s="753" t="s">
        <v>6513</v>
      </c>
      <c r="G1660" s="761" t="s">
        <v>6223</v>
      </c>
      <c r="H1660" s="898">
        <v>240611500879</v>
      </c>
      <c r="I1660" s="613" t="s">
        <v>6226</v>
      </c>
      <c r="J1660" s="830" t="s">
        <v>6225</v>
      </c>
      <c r="K1660" s="825">
        <v>2421.54</v>
      </c>
      <c r="L1660" s="826">
        <v>60.216900000000003</v>
      </c>
      <c r="M1660" s="825">
        <f t="shared" si="132"/>
        <v>40.213627735735315</v>
      </c>
      <c r="N1660" s="587">
        <v>60</v>
      </c>
      <c r="O1660" s="588">
        <f t="shared" si="133"/>
        <v>40.359000000000002</v>
      </c>
      <c r="P1660" s="735">
        <f t="shared" ca="1" si="130"/>
        <v>10</v>
      </c>
      <c r="Q1660" s="552">
        <f t="shared" ca="1" si="129"/>
        <v>2017.9499999999998</v>
      </c>
      <c r="R1660" s="563">
        <f t="shared" ca="1" si="131"/>
        <v>2017.9499999999998</v>
      </c>
      <c r="S1660" s="827" t="s">
        <v>4957</v>
      </c>
    </row>
    <row r="1661" spans="2:19" ht="50.1" customHeight="1" x14ac:dyDescent="0.25">
      <c r="B1661" s="858">
        <v>45558</v>
      </c>
      <c r="C1661" s="679">
        <v>45652</v>
      </c>
      <c r="D1661" s="679"/>
      <c r="E1661" s="753" t="s">
        <v>6173</v>
      </c>
      <c r="F1661" s="753" t="s">
        <v>6514</v>
      </c>
      <c r="G1661" s="761" t="s">
        <v>6223</v>
      </c>
      <c r="H1661" s="898">
        <v>240611501533</v>
      </c>
      <c r="I1661" s="613" t="s">
        <v>6226</v>
      </c>
      <c r="J1661" s="830" t="s">
        <v>6225</v>
      </c>
      <c r="K1661" s="825">
        <v>2421.54</v>
      </c>
      <c r="L1661" s="826">
        <v>60.216900000000003</v>
      </c>
      <c r="M1661" s="825">
        <f t="shared" si="132"/>
        <v>40.213627735735315</v>
      </c>
      <c r="N1661" s="587">
        <v>60</v>
      </c>
      <c r="O1661" s="588">
        <f t="shared" si="133"/>
        <v>40.359000000000002</v>
      </c>
      <c r="P1661" s="735">
        <f t="shared" ca="1" si="130"/>
        <v>10</v>
      </c>
      <c r="Q1661" s="552">
        <f t="shared" ca="1" si="129"/>
        <v>2017.9499999999998</v>
      </c>
      <c r="R1661" s="563">
        <f t="shared" ca="1" si="131"/>
        <v>2017.9499999999998</v>
      </c>
      <c r="S1661" s="827" t="s">
        <v>4957</v>
      </c>
    </row>
    <row r="1662" spans="2:19" ht="50.1" customHeight="1" x14ac:dyDescent="0.25">
      <c r="B1662" s="858">
        <v>45558</v>
      </c>
      <c r="C1662" s="679">
        <v>45652</v>
      </c>
      <c r="D1662" s="679"/>
      <c r="E1662" s="753" t="s">
        <v>6174</v>
      </c>
      <c r="F1662" s="753" t="s">
        <v>6515</v>
      </c>
      <c r="G1662" s="761" t="s">
        <v>6223</v>
      </c>
      <c r="H1662" s="898">
        <v>240611501504</v>
      </c>
      <c r="I1662" s="613" t="s">
        <v>6226</v>
      </c>
      <c r="J1662" s="830" t="s">
        <v>6225</v>
      </c>
      <c r="K1662" s="825">
        <v>2421.54</v>
      </c>
      <c r="L1662" s="826">
        <v>60.216900000000003</v>
      </c>
      <c r="M1662" s="825">
        <f t="shared" si="132"/>
        <v>40.213627735735315</v>
      </c>
      <c r="N1662" s="587">
        <v>60</v>
      </c>
      <c r="O1662" s="588">
        <f t="shared" si="133"/>
        <v>40.359000000000002</v>
      </c>
      <c r="P1662" s="735">
        <f t="shared" ca="1" si="130"/>
        <v>10</v>
      </c>
      <c r="Q1662" s="552">
        <f t="shared" ca="1" si="129"/>
        <v>2017.9499999999998</v>
      </c>
      <c r="R1662" s="563">
        <f t="shared" ca="1" si="131"/>
        <v>2017.9499999999998</v>
      </c>
      <c r="S1662" s="827" t="s">
        <v>4957</v>
      </c>
    </row>
    <row r="1663" spans="2:19" ht="50.1" customHeight="1" x14ac:dyDescent="0.25">
      <c r="B1663" s="858">
        <v>45558</v>
      </c>
      <c r="C1663" s="679">
        <v>45652</v>
      </c>
      <c r="D1663" s="679"/>
      <c r="E1663" s="753" t="s">
        <v>6175</v>
      </c>
      <c r="F1663" s="753" t="s">
        <v>6516</v>
      </c>
      <c r="G1663" s="761" t="s">
        <v>6223</v>
      </c>
      <c r="H1663" s="898">
        <v>240611502068</v>
      </c>
      <c r="I1663" s="613" t="s">
        <v>6226</v>
      </c>
      <c r="J1663" s="830" t="s">
        <v>6225</v>
      </c>
      <c r="K1663" s="825">
        <v>2421.54</v>
      </c>
      <c r="L1663" s="826">
        <v>60.216900000000003</v>
      </c>
      <c r="M1663" s="825">
        <f t="shared" si="132"/>
        <v>40.213627735735315</v>
      </c>
      <c r="N1663" s="587">
        <v>60</v>
      </c>
      <c r="O1663" s="588">
        <f t="shared" si="133"/>
        <v>40.359000000000002</v>
      </c>
      <c r="P1663" s="735">
        <f t="shared" ca="1" si="130"/>
        <v>10</v>
      </c>
      <c r="Q1663" s="552">
        <f t="shared" ca="1" si="129"/>
        <v>2017.9499999999998</v>
      </c>
      <c r="R1663" s="563">
        <f t="shared" ca="1" si="131"/>
        <v>2017.9499999999998</v>
      </c>
      <c r="S1663" s="827" t="s">
        <v>4957</v>
      </c>
    </row>
    <row r="1664" spans="2:19" ht="50.1" customHeight="1" x14ac:dyDescent="0.25">
      <c r="B1664" s="858">
        <v>45558</v>
      </c>
      <c r="C1664" s="679">
        <v>45652</v>
      </c>
      <c r="D1664" s="679"/>
      <c r="E1664" s="753" t="s">
        <v>6176</v>
      </c>
      <c r="F1664" s="753" t="s">
        <v>6517</v>
      </c>
      <c r="G1664" s="761" t="s">
        <v>6223</v>
      </c>
      <c r="H1664" s="898">
        <v>240611501513</v>
      </c>
      <c r="I1664" s="613" t="s">
        <v>6226</v>
      </c>
      <c r="J1664" s="830" t="s">
        <v>6225</v>
      </c>
      <c r="K1664" s="825">
        <v>2421.54</v>
      </c>
      <c r="L1664" s="826">
        <v>60.216900000000003</v>
      </c>
      <c r="M1664" s="825">
        <f t="shared" si="132"/>
        <v>40.213627735735315</v>
      </c>
      <c r="N1664" s="587">
        <v>60</v>
      </c>
      <c r="O1664" s="588">
        <f t="shared" si="133"/>
        <v>40.359000000000002</v>
      </c>
      <c r="P1664" s="735">
        <f t="shared" ca="1" si="130"/>
        <v>10</v>
      </c>
      <c r="Q1664" s="552">
        <f t="shared" ca="1" si="129"/>
        <v>2017.9499999999998</v>
      </c>
      <c r="R1664" s="563">
        <f t="shared" ca="1" si="131"/>
        <v>2017.9499999999998</v>
      </c>
      <c r="S1664" s="827" t="s">
        <v>4957</v>
      </c>
    </row>
    <row r="1665" spans="2:19" ht="50.1" customHeight="1" x14ac:dyDescent="0.25">
      <c r="B1665" s="858">
        <v>45558</v>
      </c>
      <c r="C1665" s="679">
        <v>45652</v>
      </c>
      <c r="D1665" s="679"/>
      <c r="E1665" s="753" t="s">
        <v>6177</v>
      </c>
      <c r="F1665" s="753" t="s">
        <v>6518</v>
      </c>
      <c r="G1665" s="761" t="s">
        <v>6223</v>
      </c>
      <c r="H1665" s="898">
        <v>240611502399</v>
      </c>
      <c r="I1665" s="613" t="s">
        <v>6226</v>
      </c>
      <c r="J1665" s="830" t="s">
        <v>6225</v>
      </c>
      <c r="K1665" s="825">
        <v>2421.54</v>
      </c>
      <c r="L1665" s="826">
        <v>60.216900000000003</v>
      </c>
      <c r="M1665" s="825">
        <f t="shared" si="132"/>
        <v>40.213627735735315</v>
      </c>
      <c r="N1665" s="587">
        <v>60</v>
      </c>
      <c r="O1665" s="588">
        <f t="shared" si="133"/>
        <v>40.359000000000002</v>
      </c>
      <c r="P1665" s="735">
        <f t="shared" ca="1" si="130"/>
        <v>10</v>
      </c>
      <c r="Q1665" s="552">
        <f t="shared" ca="1" si="129"/>
        <v>2017.9499999999998</v>
      </c>
      <c r="R1665" s="563">
        <f t="shared" ca="1" si="131"/>
        <v>2017.9499999999998</v>
      </c>
      <c r="S1665" s="827" t="s">
        <v>4957</v>
      </c>
    </row>
    <row r="1666" spans="2:19" ht="50.1" customHeight="1" x14ac:dyDescent="0.25">
      <c r="B1666" s="858">
        <v>45558</v>
      </c>
      <c r="C1666" s="679">
        <v>45652</v>
      </c>
      <c r="D1666" s="679"/>
      <c r="E1666" s="753" t="s">
        <v>6178</v>
      </c>
      <c r="F1666" s="753" t="s">
        <v>6519</v>
      </c>
      <c r="G1666" s="761" t="s">
        <v>6223</v>
      </c>
      <c r="H1666" s="898">
        <v>240611501608</v>
      </c>
      <c r="I1666" s="613" t="s">
        <v>6226</v>
      </c>
      <c r="J1666" s="830" t="s">
        <v>6225</v>
      </c>
      <c r="K1666" s="825">
        <v>2421.54</v>
      </c>
      <c r="L1666" s="826">
        <v>60.216900000000003</v>
      </c>
      <c r="M1666" s="825">
        <f t="shared" si="132"/>
        <v>40.213627735735315</v>
      </c>
      <c r="N1666" s="587">
        <v>60</v>
      </c>
      <c r="O1666" s="588">
        <f t="shared" si="133"/>
        <v>40.359000000000002</v>
      </c>
      <c r="P1666" s="735">
        <f t="shared" ca="1" si="130"/>
        <v>10</v>
      </c>
      <c r="Q1666" s="552">
        <f t="shared" ref="Q1666:Q1729" ca="1" si="134">IF(OR(K1666=0,N1666=0,P1666=0),0,K1666-(O1666*P1666))</f>
        <v>2017.9499999999998</v>
      </c>
      <c r="R1666" s="563">
        <f t="shared" ca="1" si="131"/>
        <v>2017.9499999999998</v>
      </c>
      <c r="S1666" s="827" t="s">
        <v>4957</v>
      </c>
    </row>
    <row r="1667" spans="2:19" ht="50.1" customHeight="1" x14ac:dyDescent="0.25">
      <c r="B1667" s="858">
        <v>45558</v>
      </c>
      <c r="C1667" s="679">
        <v>45652</v>
      </c>
      <c r="D1667" s="679"/>
      <c r="E1667" s="753" t="s">
        <v>6179</v>
      </c>
      <c r="F1667" s="753" t="s">
        <v>6520</v>
      </c>
      <c r="G1667" s="761" t="s">
        <v>6223</v>
      </c>
      <c r="H1667" s="898">
        <v>240611502170</v>
      </c>
      <c r="I1667" s="613" t="s">
        <v>6226</v>
      </c>
      <c r="J1667" s="830" t="s">
        <v>6225</v>
      </c>
      <c r="K1667" s="825">
        <v>2421.54</v>
      </c>
      <c r="L1667" s="826">
        <v>60.216900000000003</v>
      </c>
      <c r="M1667" s="825">
        <f t="shared" si="132"/>
        <v>40.213627735735315</v>
      </c>
      <c r="N1667" s="587">
        <v>60</v>
      </c>
      <c r="O1667" s="588">
        <f t="shared" si="133"/>
        <v>40.359000000000002</v>
      </c>
      <c r="P1667" s="735">
        <f t="shared" ca="1" si="130"/>
        <v>10</v>
      </c>
      <c r="Q1667" s="552">
        <f t="shared" ca="1" si="134"/>
        <v>2017.9499999999998</v>
      </c>
      <c r="R1667" s="563">
        <f t="shared" ca="1" si="131"/>
        <v>2017.9499999999998</v>
      </c>
      <c r="S1667" s="827" t="s">
        <v>4957</v>
      </c>
    </row>
    <row r="1668" spans="2:19" ht="50.1" customHeight="1" x14ac:dyDescent="0.25">
      <c r="B1668" s="858">
        <v>45558</v>
      </c>
      <c r="C1668" s="679">
        <v>45652</v>
      </c>
      <c r="D1668" s="679"/>
      <c r="E1668" s="753" t="s">
        <v>6180</v>
      </c>
      <c r="F1668" s="753" t="s">
        <v>6521</v>
      </c>
      <c r="G1668" s="761" t="s">
        <v>6223</v>
      </c>
      <c r="H1668" s="898">
        <v>240611500953</v>
      </c>
      <c r="I1668" s="613" t="s">
        <v>6226</v>
      </c>
      <c r="J1668" s="830" t="s">
        <v>6225</v>
      </c>
      <c r="K1668" s="825">
        <v>2421.54</v>
      </c>
      <c r="L1668" s="826">
        <v>60.216900000000003</v>
      </c>
      <c r="M1668" s="825">
        <f t="shared" si="132"/>
        <v>40.213627735735315</v>
      </c>
      <c r="N1668" s="587">
        <v>60</v>
      </c>
      <c r="O1668" s="588">
        <f t="shared" si="133"/>
        <v>40.359000000000002</v>
      </c>
      <c r="P1668" s="735">
        <f t="shared" ca="1" si="130"/>
        <v>10</v>
      </c>
      <c r="Q1668" s="552">
        <f t="shared" ca="1" si="134"/>
        <v>2017.9499999999998</v>
      </c>
      <c r="R1668" s="563">
        <f t="shared" ca="1" si="131"/>
        <v>2017.9499999999998</v>
      </c>
      <c r="S1668" s="827" t="s">
        <v>4957</v>
      </c>
    </row>
    <row r="1669" spans="2:19" ht="50.1" customHeight="1" x14ac:dyDescent="0.25">
      <c r="B1669" s="858">
        <v>45558</v>
      </c>
      <c r="C1669" s="679">
        <v>45652</v>
      </c>
      <c r="D1669" s="679"/>
      <c r="E1669" s="753" t="s">
        <v>6181</v>
      </c>
      <c r="F1669" s="753" t="s">
        <v>6522</v>
      </c>
      <c r="G1669" s="761" t="s">
        <v>6223</v>
      </c>
      <c r="H1669" s="898">
        <v>240611501743</v>
      </c>
      <c r="I1669" s="613" t="s">
        <v>6226</v>
      </c>
      <c r="J1669" s="830" t="s">
        <v>6225</v>
      </c>
      <c r="K1669" s="825">
        <v>2421.54</v>
      </c>
      <c r="L1669" s="826">
        <v>60.216900000000003</v>
      </c>
      <c r="M1669" s="825">
        <f t="shared" si="132"/>
        <v>40.213627735735315</v>
      </c>
      <c r="N1669" s="587">
        <v>60</v>
      </c>
      <c r="O1669" s="588">
        <f t="shared" si="133"/>
        <v>40.359000000000002</v>
      </c>
      <c r="P1669" s="735">
        <f t="shared" ca="1" si="130"/>
        <v>10</v>
      </c>
      <c r="Q1669" s="552">
        <f t="shared" ca="1" si="134"/>
        <v>2017.9499999999998</v>
      </c>
      <c r="R1669" s="563">
        <f t="shared" ca="1" si="131"/>
        <v>2017.9499999999998</v>
      </c>
      <c r="S1669" s="827" t="s">
        <v>4957</v>
      </c>
    </row>
    <row r="1670" spans="2:19" ht="50.1" customHeight="1" x14ac:dyDescent="0.25">
      <c r="B1670" s="858">
        <v>45558</v>
      </c>
      <c r="C1670" s="679">
        <v>45652</v>
      </c>
      <c r="D1670" s="679"/>
      <c r="E1670" s="753" t="s">
        <v>6182</v>
      </c>
      <c r="F1670" s="753" t="s">
        <v>6523</v>
      </c>
      <c r="G1670" s="761" t="s">
        <v>6223</v>
      </c>
      <c r="H1670" s="898">
        <v>240611502372</v>
      </c>
      <c r="I1670" s="613" t="s">
        <v>6226</v>
      </c>
      <c r="J1670" s="830" t="s">
        <v>6225</v>
      </c>
      <c r="K1670" s="825">
        <v>2421.54</v>
      </c>
      <c r="L1670" s="826">
        <v>60.216900000000003</v>
      </c>
      <c r="M1670" s="825">
        <f t="shared" si="132"/>
        <v>40.213627735735315</v>
      </c>
      <c r="N1670" s="587">
        <v>60</v>
      </c>
      <c r="O1670" s="588">
        <f t="shared" si="133"/>
        <v>40.359000000000002</v>
      </c>
      <c r="P1670" s="735">
        <f t="shared" ca="1" si="130"/>
        <v>10</v>
      </c>
      <c r="Q1670" s="552">
        <f t="shared" ca="1" si="134"/>
        <v>2017.9499999999998</v>
      </c>
      <c r="R1670" s="563">
        <f t="shared" ca="1" si="131"/>
        <v>2017.9499999999998</v>
      </c>
      <c r="S1670" s="827" t="s">
        <v>4957</v>
      </c>
    </row>
    <row r="1671" spans="2:19" ht="50.1" customHeight="1" x14ac:dyDescent="0.25">
      <c r="B1671" s="858">
        <v>45558</v>
      </c>
      <c r="C1671" s="679">
        <v>45652</v>
      </c>
      <c r="D1671" s="679"/>
      <c r="E1671" s="753" t="s">
        <v>6183</v>
      </c>
      <c r="F1671" s="753" t="s">
        <v>6524</v>
      </c>
      <c r="G1671" s="761" t="s">
        <v>6223</v>
      </c>
      <c r="H1671" s="898">
        <v>240611501184</v>
      </c>
      <c r="I1671" s="613" t="s">
        <v>6226</v>
      </c>
      <c r="J1671" s="830" t="s">
        <v>6225</v>
      </c>
      <c r="K1671" s="825">
        <v>2421.54</v>
      </c>
      <c r="L1671" s="826">
        <v>60.216900000000003</v>
      </c>
      <c r="M1671" s="825">
        <f t="shared" si="132"/>
        <v>40.213627735735315</v>
      </c>
      <c r="N1671" s="587">
        <v>60</v>
      </c>
      <c r="O1671" s="588">
        <f t="shared" si="133"/>
        <v>40.359000000000002</v>
      </c>
      <c r="P1671" s="735">
        <f t="shared" ca="1" si="130"/>
        <v>10</v>
      </c>
      <c r="Q1671" s="552">
        <f t="shared" ca="1" si="134"/>
        <v>2017.9499999999998</v>
      </c>
      <c r="R1671" s="563">
        <f t="shared" ca="1" si="131"/>
        <v>2017.9499999999998</v>
      </c>
      <c r="S1671" s="827" t="s">
        <v>4957</v>
      </c>
    </row>
    <row r="1672" spans="2:19" ht="50.1" customHeight="1" x14ac:dyDescent="0.25">
      <c r="B1672" s="858">
        <v>45558</v>
      </c>
      <c r="C1672" s="679">
        <v>45652</v>
      </c>
      <c r="D1672" s="679"/>
      <c r="E1672" s="753" t="s">
        <v>6184</v>
      </c>
      <c r="F1672" s="753" t="s">
        <v>6525</v>
      </c>
      <c r="G1672" s="761" t="s">
        <v>6223</v>
      </c>
      <c r="H1672" s="898">
        <v>240611501632</v>
      </c>
      <c r="I1672" s="613" t="s">
        <v>6226</v>
      </c>
      <c r="J1672" s="830" t="s">
        <v>6225</v>
      </c>
      <c r="K1672" s="825">
        <v>2421.54</v>
      </c>
      <c r="L1672" s="826">
        <v>60.216900000000003</v>
      </c>
      <c r="M1672" s="825">
        <f t="shared" si="132"/>
        <v>40.213627735735315</v>
      </c>
      <c r="N1672" s="587">
        <v>60</v>
      </c>
      <c r="O1672" s="588">
        <f t="shared" si="133"/>
        <v>40.359000000000002</v>
      </c>
      <c r="P1672" s="735">
        <f t="shared" ref="P1672:P1735" ca="1" si="135">IF(B1672&lt;&gt;0,(ROUND((NOW()-B1672)/30,0)),0)</f>
        <v>10</v>
      </c>
      <c r="Q1672" s="552">
        <f t="shared" ca="1" si="134"/>
        <v>2017.9499999999998</v>
      </c>
      <c r="R1672" s="563">
        <f t="shared" ref="R1672:R1735" ca="1" si="136">IF(Q1672&lt;1,1,Q1672)</f>
        <v>2017.9499999999998</v>
      </c>
      <c r="S1672" s="827" t="s">
        <v>4957</v>
      </c>
    </row>
    <row r="1673" spans="2:19" ht="50.1" customHeight="1" x14ac:dyDescent="0.25">
      <c r="B1673" s="858">
        <v>45558</v>
      </c>
      <c r="C1673" s="679">
        <v>45652</v>
      </c>
      <c r="D1673" s="679"/>
      <c r="E1673" s="753" t="s">
        <v>6185</v>
      </c>
      <c r="F1673" s="753" t="s">
        <v>6526</v>
      </c>
      <c r="G1673" s="761" t="s">
        <v>6223</v>
      </c>
      <c r="H1673" s="898">
        <v>240611501503</v>
      </c>
      <c r="I1673" s="613" t="s">
        <v>6226</v>
      </c>
      <c r="J1673" s="830" t="s">
        <v>6225</v>
      </c>
      <c r="K1673" s="825">
        <v>2421.54</v>
      </c>
      <c r="L1673" s="826">
        <v>60.216900000000003</v>
      </c>
      <c r="M1673" s="825">
        <f t="shared" si="132"/>
        <v>40.213627735735315</v>
      </c>
      <c r="N1673" s="587">
        <v>60</v>
      </c>
      <c r="O1673" s="588">
        <f t="shared" si="133"/>
        <v>40.359000000000002</v>
      </c>
      <c r="P1673" s="735">
        <f t="shared" ca="1" si="135"/>
        <v>10</v>
      </c>
      <c r="Q1673" s="552">
        <f t="shared" ca="1" si="134"/>
        <v>2017.9499999999998</v>
      </c>
      <c r="R1673" s="563">
        <f t="shared" ca="1" si="136"/>
        <v>2017.9499999999998</v>
      </c>
      <c r="S1673" s="827" t="s">
        <v>4957</v>
      </c>
    </row>
    <row r="1674" spans="2:19" ht="50.1" customHeight="1" x14ac:dyDescent="0.25">
      <c r="B1674" s="858">
        <v>45558</v>
      </c>
      <c r="C1674" s="679">
        <v>45652</v>
      </c>
      <c r="D1674" s="679"/>
      <c r="E1674" s="753" t="s">
        <v>6186</v>
      </c>
      <c r="F1674" s="753" t="s">
        <v>6527</v>
      </c>
      <c r="G1674" s="761" t="s">
        <v>6223</v>
      </c>
      <c r="H1674" s="898">
        <v>240611501535</v>
      </c>
      <c r="I1674" s="613" t="s">
        <v>6226</v>
      </c>
      <c r="J1674" s="830" t="s">
        <v>6225</v>
      </c>
      <c r="K1674" s="825">
        <v>2421.54</v>
      </c>
      <c r="L1674" s="826">
        <v>60.216900000000003</v>
      </c>
      <c r="M1674" s="825">
        <f t="shared" si="132"/>
        <v>40.213627735735315</v>
      </c>
      <c r="N1674" s="587">
        <v>60</v>
      </c>
      <c r="O1674" s="588">
        <f t="shared" si="133"/>
        <v>40.359000000000002</v>
      </c>
      <c r="P1674" s="735">
        <f t="shared" ca="1" si="135"/>
        <v>10</v>
      </c>
      <c r="Q1674" s="552">
        <f t="shared" ca="1" si="134"/>
        <v>2017.9499999999998</v>
      </c>
      <c r="R1674" s="563">
        <f t="shared" ca="1" si="136"/>
        <v>2017.9499999999998</v>
      </c>
      <c r="S1674" s="827" t="s">
        <v>4957</v>
      </c>
    </row>
    <row r="1675" spans="2:19" ht="50.1" customHeight="1" x14ac:dyDescent="0.25">
      <c r="B1675" s="858">
        <v>45558</v>
      </c>
      <c r="C1675" s="679">
        <v>45652</v>
      </c>
      <c r="D1675" s="679"/>
      <c r="E1675" s="753" t="s">
        <v>6187</v>
      </c>
      <c r="F1675" s="753" t="s">
        <v>6528</v>
      </c>
      <c r="G1675" s="761" t="s">
        <v>6223</v>
      </c>
      <c r="H1675" s="898">
        <v>24061150266</v>
      </c>
      <c r="I1675" s="613" t="s">
        <v>6226</v>
      </c>
      <c r="J1675" s="830" t="s">
        <v>6225</v>
      </c>
      <c r="K1675" s="825">
        <v>2421.54</v>
      </c>
      <c r="L1675" s="826">
        <v>60.216900000000003</v>
      </c>
      <c r="M1675" s="825">
        <f t="shared" si="132"/>
        <v>40.213627735735315</v>
      </c>
      <c r="N1675" s="587">
        <v>60</v>
      </c>
      <c r="O1675" s="588">
        <f t="shared" si="133"/>
        <v>40.359000000000002</v>
      </c>
      <c r="P1675" s="735">
        <f t="shared" ca="1" si="135"/>
        <v>10</v>
      </c>
      <c r="Q1675" s="552">
        <f t="shared" ca="1" si="134"/>
        <v>2017.9499999999998</v>
      </c>
      <c r="R1675" s="563">
        <f t="shared" ca="1" si="136"/>
        <v>2017.9499999999998</v>
      </c>
      <c r="S1675" s="827" t="s">
        <v>4957</v>
      </c>
    </row>
    <row r="1676" spans="2:19" ht="50.1" customHeight="1" x14ac:dyDescent="0.25">
      <c r="B1676" s="858">
        <v>45558</v>
      </c>
      <c r="C1676" s="679">
        <v>45652</v>
      </c>
      <c r="D1676" s="679"/>
      <c r="E1676" s="753" t="s">
        <v>6188</v>
      </c>
      <c r="F1676" s="753" t="s">
        <v>6529</v>
      </c>
      <c r="G1676" s="761" t="s">
        <v>6223</v>
      </c>
      <c r="H1676" s="898">
        <v>240611502106</v>
      </c>
      <c r="I1676" s="613" t="s">
        <v>6226</v>
      </c>
      <c r="J1676" s="830" t="s">
        <v>6225</v>
      </c>
      <c r="K1676" s="825">
        <v>2421.54</v>
      </c>
      <c r="L1676" s="826">
        <v>60.216900000000003</v>
      </c>
      <c r="M1676" s="825">
        <f t="shared" si="132"/>
        <v>40.213627735735315</v>
      </c>
      <c r="N1676" s="587">
        <v>60</v>
      </c>
      <c r="O1676" s="588">
        <f t="shared" si="133"/>
        <v>40.359000000000002</v>
      </c>
      <c r="P1676" s="735">
        <f t="shared" ca="1" si="135"/>
        <v>10</v>
      </c>
      <c r="Q1676" s="552">
        <f t="shared" ca="1" si="134"/>
        <v>2017.9499999999998</v>
      </c>
      <c r="R1676" s="563">
        <f t="shared" ca="1" si="136"/>
        <v>2017.9499999999998</v>
      </c>
      <c r="S1676" s="827" t="s">
        <v>4957</v>
      </c>
    </row>
    <row r="1677" spans="2:19" ht="50.1" customHeight="1" x14ac:dyDescent="0.25">
      <c r="B1677" s="858">
        <v>45558</v>
      </c>
      <c r="C1677" s="679">
        <v>45652</v>
      </c>
      <c r="D1677" s="679"/>
      <c r="E1677" s="753" t="s">
        <v>6189</v>
      </c>
      <c r="F1677" s="753" t="s">
        <v>6530</v>
      </c>
      <c r="G1677" s="761" t="s">
        <v>6223</v>
      </c>
      <c r="H1677" s="898">
        <v>240611502397</v>
      </c>
      <c r="I1677" s="613" t="s">
        <v>6226</v>
      </c>
      <c r="J1677" s="830" t="s">
        <v>6225</v>
      </c>
      <c r="K1677" s="825">
        <v>2421.54</v>
      </c>
      <c r="L1677" s="826">
        <v>60.216900000000003</v>
      </c>
      <c r="M1677" s="825">
        <f t="shared" si="132"/>
        <v>40.213627735735315</v>
      </c>
      <c r="N1677" s="587">
        <v>60</v>
      </c>
      <c r="O1677" s="588">
        <f t="shared" si="133"/>
        <v>40.359000000000002</v>
      </c>
      <c r="P1677" s="735">
        <f t="shared" ca="1" si="135"/>
        <v>10</v>
      </c>
      <c r="Q1677" s="552">
        <f t="shared" ca="1" si="134"/>
        <v>2017.9499999999998</v>
      </c>
      <c r="R1677" s="563">
        <f t="shared" ca="1" si="136"/>
        <v>2017.9499999999998</v>
      </c>
      <c r="S1677" s="827" t="s">
        <v>4957</v>
      </c>
    </row>
    <row r="1678" spans="2:19" ht="50.1" customHeight="1" x14ac:dyDescent="0.25">
      <c r="B1678" s="858">
        <v>45558</v>
      </c>
      <c r="C1678" s="679">
        <v>45652</v>
      </c>
      <c r="D1678" s="679"/>
      <c r="E1678" s="753" t="s">
        <v>6190</v>
      </c>
      <c r="F1678" s="753" t="s">
        <v>6531</v>
      </c>
      <c r="G1678" s="761" t="s">
        <v>6223</v>
      </c>
      <c r="H1678" s="898">
        <v>240611501607</v>
      </c>
      <c r="I1678" s="613" t="s">
        <v>6226</v>
      </c>
      <c r="J1678" s="830" t="s">
        <v>6225</v>
      </c>
      <c r="K1678" s="825">
        <v>2421.54</v>
      </c>
      <c r="L1678" s="826">
        <v>60.216900000000003</v>
      </c>
      <c r="M1678" s="825">
        <f t="shared" si="132"/>
        <v>40.213627735735315</v>
      </c>
      <c r="N1678" s="587">
        <v>60</v>
      </c>
      <c r="O1678" s="588">
        <f t="shared" si="133"/>
        <v>40.359000000000002</v>
      </c>
      <c r="P1678" s="735">
        <f t="shared" ca="1" si="135"/>
        <v>10</v>
      </c>
      <c r="Q1678" s="552">
        <f t="shared" ca="1" si="134"/>
        <v>2017.9499999999998</v>
      </c>
      <c r="R1678" s="563">
        <f t="shared" ca="1" si="136"/>
        <v>2017.9499999999998</v>
      </c>
      <c r="S1678" s="827" t="s">
        <v>4957</v>
      </c>
    </row>
    <row r="1679" spans="2:19" ht="50.1" customHeight="1" x14ac:dyDescent="0.25">
      <c r="B1679" s="858">
        <v>45558</v>
      </c>
      <c r="C1679" s="679">
        <v>45652</v>
      </c>
      <c r="D1679" s="679"/>
      <c r="E1679" s="753" t="s">
        <v>6191</v>
      </c>
      <c r="F1679" s="753" t="s">
        <v>6532</v>
      </c>
      <c r="G1679" s="761" t="s">
        <v>6223</v>
      </c>
      <c r="H1679" s="898">
        <v>240611502172</v>
      </c>
      <c r="I1679" s="613" t="s">
        <v>6226</v>
      </c>
      <c r="J1679" s="830" t="s">
        <v>6225</v>
      </c>
      <c r="K1679" s="825">
        <v>2421.54</v>
      </c>
      <c r="L1679" s="826">
        <v>60.216900000000003</v>
      </c>
      <c r="M1679" s="825">
        <f t="shared" si="132"/>
        <v>40.213627735735315</v>
      </c>
      <c r="N1679" s="587">
        <v>60</v>
      </c>
      <c r="O1679" s="588">
        <f t="shared" si="133"/>
        <v>40.359000000000002</v>
      </c>
      <c r="P1679" s="735">
        <f t="shared" ca="1" si="135"/>
        <v>10</v>
      </c>
      <c r="Q1679" s="552">
        <f t="shared" ca="1" si="134"/>
        <v>2017.9499999999998</v>
      </c>
      <c r="R1679" s="563">
        <f t="shared" ca="1" si="136"/>
        <v>2017.9499999999998</v>
      </c>
      <c r="S1679" s="827" t="s">
        <v>4957</v>
      </c>
    </row>
    <row r="1680" spans="2:19" ht="50.1" customHeight="1" x14ac:dyDescent="0.25">
      <c r="B1680" s="858">
        <v>45558</v>
      </c>
      <c r="C1680" s="679">
        <v>45652</v>
      </c>
      <c r="D1680" s="679"/>
      <c r="E1680" s="753" t="s">
        <v>6192</v>
      </c>
      <c r="F1680" s="753" t="s">
        <v>6533</v>
      </c>
      <c r="G1680" s="761" t="s">
        <v>6223</v>
      </c>
      <c r="H1680" s="898">
        <v>240611502395</v>
      </c>
      <c r="I1680" s="613" t="s">
        <v>6226</v>
      </c>
      <c r="J1680" s="830" t="s">
        <v>6225</v>
      </c>
      <c r="K1680" s="825">
        <v>2421.54</v>
      </c>
      <c r="L1680" s="826">
        <v>60.216900000000003</v>
      </c>
      <c r="M1680" s="825">
        <f t="shared" ref="M1680:M1743" si="137">+K1680/L1680</f>
        <v>40.213627735735315</v>
      </c>
      <c r="N1680" s="587">
        <v>60</v>
      </c>
      <c r="O1680" s="588">
        <f t="shared" si="133"/>
        <v>40.359000000000002</v>
      </c>
      <c r="P1680" s="735">
        <f t="shared" ca="1" si="135"/>
        <v>10</v>
      </c>
      <c r="Q1680" s="552">
        <f t="shared" ca="1" si="134"/>
        <v>2017.9499999999998</v>
      </c>
      <c r="R1680" s="563">
        <f t="shared" ca="1" si="136"/>
        <v>2017.9499999999998</v>
      </c>
      <c r="S1680" s="827" t="s">
        <v>4957</v>
      </c>
    </row>
    <row r="1681" spans="2:19" ht="50.1" customHeight="1" x14ac:dyDescent="0.25">
      <c r="B1681" s="858">
        <v>45558</v>
      </c>
      <c r="C1681" s="679">
        <v>45652</v>
      </c>
      <c r="D1681" s="679"/>
      <c r="E1681" s="753" t="s">
        <v>6193</v>
      </c>
      <c r="F1681" s="753" t="s">
        <v>6534</v>
      </c>
      <c r="G1681" s="761" t="s">
        <v>6223</v>
      </c>
      <c r="H1681" s="898">
        <v>240611501741</v>
      </c>
      <c r="I1681" s="613" t="s">
        <v>6226</v>
      </c>
      <c r="J1681" s="830" t="s">
        <v>6225</v>
      </c>
      <c r="K1681" s="825">
        <v>2421.54</v>
      </c>
      <c r="L1681" s="826">
        <v>60.216900000000003</v>
      </c>
      <c r="M1681" s="825">
        <f t="shared" si="137"/>
        <v>40.213627735735315</v>
      </c>
      <c r="N1681" s="587">
        <v>60</v>
      </c>
      <c r="O1681" s="588">
        <f t="shared" si="133"/>
        <v>40.359000000000002</v>
      </c>
      <c r="P1681" s="735">
        <f t="shared" ca="1" si="135"/>
        <v>10</v>
      </c>
      <c r="Q1681" s="552">
        <f t="shared" ca="1" si="134"/>
        <v>2017.9499999999998</v>
      </c>
      <c r="R1681" s="563">
        <f t="shared" ca="1" si="136"/>
        <v>2017.9499999999998</v>
      </c>
      <c r="S1681" s="827" t="s">
        <v>4957</v>
      </c>
    </row>
    <row r="1682" spans="2:19" ht="50.1" customHeight="1" x14ac:dyDescent="0.25">
      <c r="B1682" s="858">
        <v>45558</v>
      </c>
      <c r="C1682" s="679">
        <v>45652</v>
      </c>
      <c r="D1682" s="679"/>
      <c r="E1682" s="753" t="s">
        <v>6194</v>
      </c>
      <c r="F1682" s="753" t="s">
        <v>6535</v>
      </c>
      <c r="G1682" s="761" t="s">
        <v>6223</v>
      </c>
      <c r="H1682" s="898">
        <v>240611502371</v>
      </c>
      <c r="I1682" s="613" t="s">
        <v>6226</v>
      </c>
      <c r="J1682" s="830" t="s">
        <v>6225</v>
      </c>
      <c r="K1682" s="825">
        <v>2421.54</v>
      </c>
      <c r="L1682" s="826">
        <v>60.216900000000003</v>
      </c>
      <c r="M1682" s="825">
        <f t="shared" si="137"/>
        <v>40.213627735735315</v>
      </c>
      <c r="N1682" s="587">
        <v>60</v>
      </c>
      <c r="O1682" s="588">
        <f t="shared" si="133"/>
        <v>40.359000000000002</v>
      </c>
      <c r="P1682" s="735">
        <f t="shared" ca="1" si="135"/>
        <v>10</v>
      </c>
      <c r="Q1682" s="552">
        <f t="shared" ca="1" si="134"/>
        <v>2017.9499999999998</v>
      </c>
      <c r="R1682" s="563">
        <f t="shared" ca="1" si="136"/>
        <v>2017.9499999999998</v>
      </c>
      <c r="S1682" s="827" t="s">
        <v>4957</v>
      </c>
    </row>
    <row r="1683" spans="2:19" ht="50.1" customHeight="1" x14ac:dyDescent="0.25">
      <c r="B1683" s="858">
        <v>45558</v>
      </c>
      <c r="C1683" s="679">
        <v>45652</v>
      </c>
      <c r="D1683" s="679"/>
      <c r="E1683" s="753" t="s">
        <v>6195</v>
      </c>
      <c r="F1683" s="753" t="s">
        <v>6536</v>
      </c>
      <c r="G1683" s="761" t="s">
        <v>6223</v>
      </c>
      <c r="H1683" s="898">
        <v>240611501181</v>
      </c>
      <c r="I1683" s="613" t="s">
        <v>6226</v>
      </c>
      <c r="J1683" s="830" t="s">
        <v>6225</v>
      </c>
      <c r="K1683" s="825">
        <v>2421.54</v>
      </c>
      <c r="L1683" s="826">
        <v>60.216900000000003</v>
      </c>
      <c r="M1683" s="825">
        <f t="shared" si="137"/>
        <v>40.213627735735315</v>
      </c>
      <c r="N1683" s="587">
        <v>60</v>
      </c>
      <c r="O1683" s="588">
        <f t="shared" si="133"/>
        <v>40.359000000000002</v>
      </c>
      <c r="P1683" s="735">
        <f t="shared" ca="1" si="135"/>
        <v>10</v>
      </c>
      <c r="Q1683" s="552">
        <f t="shared" ca="1" si="134"/>
        <v>2017.9499999999998</v>
      </c>
      <c r="R1683" s="563">
        <f t="shared" ca="1" si="136"/>
        <v>2017.9499999999998</v>
      </c>
      <c r="S1683" s="827" t="s">
        <v>4957</v>
      </c>
    </row>
    <row r="1684" spans="2:19" ht="50.1" customHeight="1" x14ac:dyDescent="0.25">
      <c r="B1684" s="858">
        <v>45558</v>
      </c>
      <c r="C1684" s="679">
        <v>45652</v>
      </c>
      <c r="D1684" s="679"/>
      <c r="E1684" s="753" t="s">
        <v>6196</v>
      </c>
      <c r="F1684" s="753" t="s">
        <v>6537</v>
      </c>
      <c r="G1684" s="761" t="s">
        <v>6223</v>
      </c>
      <c r="H1684" s="898">
        <v>240611501630</v>
      </c>
      <c r="I1684" s="613" t="s">
        <v>6226</v>
      </c>
      <c r="J1684" s="830" t="s">
        <v>6225</v>
      </c>
      <c r="K1684" s="825">
        <v>2421.54</v>
      </c>
      <c r="L1684" s="826">
        <v>60.216900000000003</v>
      </c>
      <c r="M1684" s="825">
        <f t="shared" si="137"/>
        <v>40.213627735735315</v>
      </c>
      <c r="N1684" s="587">
        <v>60</v>
      </c>
      <c r="O1684" s="588">
        <f t="shared" si="133"/>
        <v>40.359000000000002</v>
      </c>
      <c r="P1684" s="735">
        <f t="shared" ca="1" si="135"/>
        <v>10</v>
      </c>
      <c r="Q1684" s="552">
        <f t="shared" ca="1" si="134"/>
        <v>2017.9499999999998</v>
      </c>
      <c r="R1684" s="563">
        <f t="shared" ca="1" si="136"/>
        <v>2017.9499999999998</v>
      </c>
      <c r="S1684" s="827" t="s">
        <v>4957</v>
      </c>
    </row>
    <row r="1685" spans="2:19" ht="50.1" customHeight="1" x14ac:dyDescent="0.25">
      <c r="B1685" s="858">
        <v>45558</v>
      </c>
      <c r="C1685" s="679">
        <v>45652</v>
      </c>
      <c r="D1685" s="679"/>
      <c r="E1685" s="753" t="s">
        <v>6197</v>
      </c>
      <c r="F1685" s="753" t="s">
        <v>6538</v>
      </c>
      <c r="G1685" s="761" t="s">
        <v>6223</v>
      </c>
      <c r="H1685" s="898">
        <v>240611502359</v>
      </c>
      <c r="I1685" s="613" t="s">
        <v>6226</v>
      </c>
      <c r="J1685" s="830" t="s">
        <v>6225</v>
      </c>
      <c r="K1685" s="825">
        <v>2421.54</v>
      </c>
      <c r="L1685" s="826">
        <v>60.216900000000003</v>
      </c>
      <c r="M1685" s="825">
        <f t="shared" si="137"/>
        <v>40.213627735735315</v>
      </c>
      <c r="N1685" s="587">
        <v>60</v>
      </c>
      <c r="O1685" s="588">
        <f t="shared" si="133"/>
        <v>40.359000000000002</v>
      </c>
      <c r="P1685" s="735">
        <f t="shared" ca="1" si="135"/>
        <v>10</v>
      </c>
      <c r="Q1685" s="552">
        <f t="shared" ca="1" si="134"/>
        <v>2017.9499999999998</v>
      </c>
      <c r="R1685" s="563">
        <f t="shared" ca="1" si="136"/>
        <v>2017.9499999999998</v>
      </c>
      <c r="S1685" s="827" t="s">
        <v>4957</v>
      </c>
    </row>
    <row r="1686" spans="2:19" ht="50.1" customHeight="1" x14ac:dyDescent="0.25">
      <c r="B1686" s="858">
        <v>45558</v>
      </c>
      <c r="C1686" s="679">
        <v>45652</v>
      </c>
      <c r="D1686" s="679"/>
      <c r="E1686" s="753" t="s">
        <v>6198</v>
      </c>
      <c r="F1686" s="753" t="s">
        <v>6539</v>
      </c>
      <c r="G1686" s="761" t="s">
        <v>6223</v>
      </c>
      <c r="H1686" s="898">
        <v>240611501501</v>
      </c>
      <c r="I1686" s="613" t="s">
        <v>6226</v>
      </c>
      <c r="J1686" s="830" t="s">
        <v>6225</v>
      </c>
      <c r="K1686" s="825">
        <v>2421.54</v>
      </c>
      <c r="L1686" s="826">
        <v>60.216900000000003</v>
      </c>
      <c r="M1686" s="825">
        <f t="shared" si="137"/>
        <v>40.213627735735315</v>
      </c>
      <c r="N1686" s="587">
        <v>60</v>
      </c>
      <c r="O1686" s="588">
        <f t="shared" si="133"/>
        <v>40.359000000000002</v>
      </c>
      <c r="P1686" s="735">
        <f t="shared" ca="1" si="135"/>
        <v>10</v>
      </c>
      <c r="Q1686" s="552">
        <f t="shared" ca="1" si="134"/>
        <v>2017.9499999999998</v>
      </c>
      <c r="R1686" s="563">
        <f t="shared" ca="1" si="136"/>
        <v>2017.9499999999998</v>
      </c>
      <c r="S1686" s="827" t="s">
        <v>4957</v>
      </c>
    </row>
    <row r="1687" spans="2:19" ht="50.1" customHeight="1" x14ac:dyDescent="0.25">
      <c r="B1687" s="858">
        <v>45558</v>
      </c>
      <c r="C1687" s="679">
        <v>45652</v>
      </c>
      <c r="D1687" s="679"/>
      <c r="E1687" s="753" t="s">
        <v>6199</v>
      </c>
      <c r="F1687" s="753" t="s">
        <v>6540</v>
      </c>
      <c r="G1687" s="761" t="s">
        <v>6223</v>
      </c>
      <c r="H1687" s="898">
        <v>240611502067</v>
      </c>
      <c r="I1687" s="613" t="s">
        <v>6226</v>
      </c>
      <c r="J1687" s="830" t="s">
        <v>6225</v>
      </c>
      <c r="K1687" s="825">
        <v>2421.54</v>
      </c>
      <c r="L1687" s="826">
        <v>60.216900000000003</v>
      </c>
      <c r="M1687" s="825">
        <f t="shared" si="137"/>
        <v>40.213627735735315</v>
      </c>
      <c r="N1687" s="587">
        <v>60</v>
      </c>
      <c r="O1687" s="588">
        <f t="shared" si="133"/>
        <v>40.359000000000002</v>
      </c>
      <c r="P1687" s="735">
        <f t="shared" ca="1" si="135"/>
        <v>10</v>
      </c>
      <c r="Q1687" s="552">
        <f t="shared" ca="1" si="134"/>
        <v>2017.9499999999998</v>
      </c>
      <c r="R1687" s="563">
        <f t="shared" ca="1" si="136"/>
        <v>2017.9499999999998</v>
      </c>
      <c r="S1687" s="827" t="s">
        <v>4957</v>
      </c>
    </row>
    <row r="1688" spans="2:19" ht="50.1" customHeight="1" x14ac:dyDescent="0.25">
      <c r="B1688" s="858">
        <v>45558</v>
      </c>
      <c r="C1688" s="679">
        <v>45652</v>
      </c>
      <c r="D1688" s="679"/>
      <c r="E1688" s="753" t="s">
        <v>6200</v>
      </c>
      <c r="F1688" s="753" t="s">
        <v>6541</v>
      </c>
      <c r="G1688" s="761" t="s">
        <v>6223</v>
      </c>
      <c r="H1688" s="898">
        <v>240611502108</v>
      </c>
      <c r="I1688" s="613" t="s">
        <v>6226</v>
      </c>
      <c r="J1688" s="830" t="s">
        <v>6225</v>
      </c>
      <c r="K1688" s="825">
        <v>2421.54</v>
      </c>
      <c r="L1688" s="826">
        <v>60.216900000000003</v>
      </c>
      <c r="M1688" s="825">
        <f t="shared" si="137"/>
        <v>40.213627735735315</v>
      </c>
      <c r="N1688" s="587">
        <v>60</v>
      </c>
      <c r="O1688" s="588">
        <f t="shared" si="133"/>
        <v>40.359000000000002</v>
      </c>
      <c r="P1688" s="735">
        <f t="shared" ca="1" si="135"/>
        <v>10</v>
      </c>
      <c r="Q1688" s="552">
        <f t="shared" ca="1" si="134"/>
        <v>2017.9499999999998</v>
      </c>
      <c r="R1688" s="563">
        <f t="shared" ca="1" si="136"/>
        <v>2017.9499999999998</v>
      </c>
      <c r="S1688" s="827" t="s">
        <v>4957</v>
      </c>
    </row>
    <row r="1689" spans="2:19" ht="50.1" customHeight="1" x14ac:dyDescent="0.25">
      <c r="B1689" s="858">
        <v>45558</v>
      </c>
      <c r="C1689" s="679">
        <v>45652</v>
      </c>
      <c r="D1689" s="679"/>
      <c r="E1689" s="753" t="s">
        <v>6201</v>
      </c>
      <c r="F1689" s="753" t="s">
        <v>6569</v>
      </c>
      <c r="G1689" s="761" t="s">
        <v>6223</v>
      </c>
      <c r="H1689" s="898">
        <v>240611502422</v>
      </c>
      <c r="I1689" s="613" t="s">
        <v>6226</v>
      </c>
      <c r="J1689" s="830" t="s">
        <v>6225</v>
      </c>
      <c r="K1689" s="825">
        <v>2421.54</v>
      </c>
      <c r="L1689" s="826">
        <v>60.216900000000003</v>
      </c>
      <c r="M1689" s="825">
        <f t="shared" si="137"/>
        <v>40.213627735735315</v>
      </c>
      <c r="N1689" s="587">
        <v>60</v>
      </c>
      <c r="O1689" s="588">
        <f t="shared" si="133"/>
        <v>40.359000000000002</v>
      </c>
      <c r="P1689" s="735">
        <f t="shared" ca="1" si="135"/>
        <v>10</v>
      </c>
      <c r="Q1689" s="552">
        <f t="shared" ca="1" si="134"/>
        <v>2017.9499999999998</v>
      </c>
      <c r="R1689" s="563">
        <f t="shared" ca="1" si="136"/>
        <v>2017.9499999999998</v>
      </c>
      <c r="S1689" s="827" t="s">
        <v>4957</v>
      </c>
    </row>
    <row r="1690" spans="2:19" ht="50.1" customHeight="1" x14ac:dyDescent="0.25">
      <c r="B1690" s="858">
        <v>45558</v>
      </c>
      <c r="C1690" s="679">
        <v>45652</v>
      </c>
      <c r="D1690" s="679"/>
      <c r="E1690" s="753" t="s">
        <v>6202</v>
      </c>
      <c r="F1690" s="753" t="s">
        <v>6542</v>
      </c>
      <c r="G1690" s="761" t="s">
        <v>6223</v>
      </c>
      <c r="H1690" s="898">
        <v>240611501605</v>
      </c>
      <c r="I1690" s="613" t="s">
        <v>6226</v>
      </c>
      <c r="J1690" s="830" t="s">
        <v>6225</v>
      </c>
      <c r="K1690" s="825">
        <v>2421.54</v>
      </c>
      <c r="L1690" s="826">
        <v>60.216900000000003</v>
      </c>
      <c r="M1690" s="825">
        <f t="shared" si="137"/>
        <v>40.213627735735315</v>
      </c>
      <c r="N1690" s="587">
        <v>60</v>
      </c>
      <c r="O1690" s="588">
        <f t="shared" si="133"/>
        <v>40.359000000000002</v>
      </c>
      <c r="P1690" s="735">
        <f t="shared" ca="1" si="135"/>
        <v>10</v>
      </c>
      <c r="Q1690" s="552">
        <f t="shared" ca="1" si="134"/>
        <v>2017.9499999999998</v>
      </c>
      <c r="R1690" s="563">
        <f t="shared" ca="1" si="136"/>
        <v>2017.9499999999998</v>
      </c>
      <c r="S1690" s="827" t="s">
        <v>4957</v>
      </c>
    </row>
    <row r="1691" spans="2:19" ht="50.1" customHeight="1" x14ac:dyDescent="0.25">
      <c r="B1691" s="858">
        <v>45558</v>
      </c>
      <c r="C1691" s="679">
        <v>45652</v>
      </c>
      <c r="D1691" s="679"/>
      <c r="E1691" s="753" t="s">
        <v>6203</v>
      </c>
      <c r="F1691" s="753" t="s">
        <v>6543</v>
      </c>
      <c r="G1691" s="761" t="s">
        <v>6223</v>
      </c>
      <c r="H1691" s="898">
        <v>240611502171</v>
      </c>
      <c r="I1691" s="613" t="s">
        <v>6226</v>
      </c>
      <c r="J1691" s="830" t="s">
        <v>6225</v>
      </c>
      <c r="K1691" s="825">
        <v>2421.54</v>
      </c>
      <c r="L1691" s="826">
        <v>60.216900000000003</v>
      </c>
      <c r="M1691" s="825">
        <f t="shared" si="137"/>
        <v>40.213627735735315</v>
      </c>
      <c r="N1691" s="587">
        <v>60</v>
      </c>
      <c r="O1691" s="588">
        <f t="shared" si="133"/>
        <v>40.359000000000002</v>
      </c>
      <c r="P1691" s="735">
        <f t="shared" ca="1" si="135"/>
        <v>10</v>
      </c>
      <c r="Q1691" s="552">
        <f t="shared" ca="1" si="134"/>
        <v>2017.9499999999998</v>
      </c>
      <c r="R1691" s="563">
        <f t="shared" ca="1" si="136"/>
        <v>2017.9499999999998</v>
      </c>
      <c r="S1691" s="827" t="s">
        <v>4957</v>
      </c>
    </row>
    <row r="1692" spans="2:19" ht="50.1" customHeight="1" x14ac:dyDescent="0.25">
      <c r="B1692" s="858">
        <v>45558</v>
      </c>
      <c r="C1692" s="679">
        <v>45652</v>
      </c>
      <c r="D1692" s="679"/>
      <c r="E1692" s="753" t="s">
        <v>6204</v>
      </c>
      <c r="F1692" s="753" t="s">
        <v>6544</v>
      </c>
      <c r="G1692" s="761" t="s">
        <v>6223</v>
      </c>
      <c r="H1692" s="898">
        <v>240611502393</v>
      </c>
      <c r="I1692" s="613" t="s">
        <v>6226</v>
      </c>
      <c r="J1692" s="830" t="s">
        <v>6225</v>
      </c>
      <c r="K1692" s="825">
        <v>2421.54</v>
      </c>
      <c r="L1692" s="826">
        <v>60.216900000000003</v>
      </c>
      <c r="M1692" s="825">
        <f t="shared" si="137"/>
        <v>40.213627735735315</v>
      </c>
      <c r="N1692" s="587">
        <v>60</v>
      </c>
      <c r="O1692" s="588">
        <f t="shared" si="133"/>
        <v>40.359000000000002</v>
      </c>
      <c r="P1692" s="735">
        <f t="shared" ca="1" si="135"/>
        <v>10</v>
      </c>
      <c r="Q1692" s="552">
        <f t="shared" ca="1" si="134"/>
        <v>2017.9499999999998</v>
      </c>
      <c r="R1692" s="563">
        <f t="shared" ca="1" si="136"/>
        <v>2017.9499999999998</v>
      </c>
      <c r="S1692" s="827" t="s">
        <v>4957</v>
      </c>
    </row>
    <row r="1693" spans="2:19" ht="50.1" customHeight="1" x14ac:dyDescent="0.25">
      <c r="B1693" s="858">
        <v>45558</v>
      </c>
      <c r="C1693" s="679">
        <v>45652</v>
      </c>
      <c r="D1693" s="679"/>
      <c r="E1693" s="753" t="s">
        <v>6205</v>
      </c>
      <c r="F1693" s="753" t="s">
        <v>6545</v>
      </c>
      <c r="G1693" s="761" t="s">
        <v>6223</v>
      </c>
      <c r="H1693" s="898">
        <v>240611502099</v>
      </c>
      <c r="I1693" s="613" t="s">
        <v>6226</v>
      </c>
      <c r="J1693" s="830" t="s">
        <v>6225</v>
      </c>
      <c r="K1693" s="825">
        <v>2421.54</v>
      </c>
      <c r="L1693" s="826">
        <v>60.216900000000003</v>
      </c>
      <c r="M1693" s="825">
        <f t="shared" si="137"/>
        <v>40.213627735735315</v>
      </c>
      <c r="N1693" s="587">
        <v>60</v>
      </c>
      <c r="O1693" s="588">
        <f t="shared" si="133"/>
        <v>40.359000000000002</v>
      </c>
      <c r="P1693" s="735">
        <f t="shared" ca="1" si="135"/>
        <v>10</v>
      </c>
      <c r="Q1693" s="552">
        <f t="shared" ca="1" si="134"/>
        <v>2017.9499999999998</v>
      </c>
      <c r="R1693" s="563">
        <f t="shared" ca="1" si="136"/>
        <v>2017.9499999999998</v>
      </c>
      <c r="S1693" s="827" t="s">
        <v>4957</v>
      </c>
    </row>
    <row r="1694" spans="2:19" ht="50.1" customHeight="1" x14ac:dyDescent="0.25">
      <c r="B1694" s="858">
        <v>45558</v>
      </c>
      <c r="C1694" s="679">
        <v>45652</v>
      </c>
      <c r="D1694" s="679"/>
      <c r="E1694" s="753" t="s">
        <v>6206</v>
      </c>
      <c r="F1694" s="753" t="s">
        <v>6546</v>
      </c>
      <c r="G1694" s="761" t="s">
        <v>6223</v>
      </c>
      <c r="H1694" s="898">
        <v>240611502369</v>
      </c>
      <c r="I1694" s="613" t="s">
        <v>6226</v>
      </c>
      <c r="J1694" s="830" t="s">
        <v>6225</v>
      </c>
      <c r="K1694" s="825">
        <v>2421.54</v>
      </c>
      <c r="L1694" s="826">
        <v>60.216900000000003</v>
      </c>
      <c r="M1694" s="825">
        <f t="shared" si="137"/>
        <v>40.213627735735315</v>
      </c>
      <c r="N1694" s="587">
        <v>60</v>
      </c>
      <c r="O1694" s="588">
        <f t="shared" si="133"/>
        <v>40.359000000000002</v>
      </c>
      <c r="P1694" s="735">
        <f t="shared" ca="1" si="135"/>
        <v>10</v>
      </c>
      <c r="Q1694" s="552">
        <f t="shared" ca="1" si="134"/>
        <v>2017.9499999999998</v>
      </c>
      <c r="R1694" s="563">
        <f t="shared" ca="1" si="136"/>
        <v>2017.9499999999998</v>
      </c>
      <c r="S1694" s="827" t="s">
        <v>4957</v>
      </c>
    </row>
    <row r="1695" spans="2:19" ht="50.1" customHeight="1" x14ac:dyDescent="0.25">
      <c r="B1695" s="858">
        <v>45558</v>
      </c>
      <c r="C1695" s="679">
        <v>45652</v>
      </c>
      <c r="D1695" s="679"/>
      <c r="E1695" s="753" t="s">
        <v>6207</v>
      </c>
      <c r="F1695" s="753" t="s">
        <v>6547</v>
      </c>
      <c r="G1695" s="761" t="s">
        <v>6223</v>
      </c>
      <c r="H1695" s="898">
        <v>240611501183</v>
      </c>
      <c r="I1695" s="613" t="s">
        <v>6226</v>
      </c>
      <c r="J1695" s="830" t="s">
        <v>6225</v>
      </c>
      <c r="K1695" s="825">
        <v>2421.54</v>
      </c>
      <c r="L1695" s="826">
        <v>60.216900000000003</v>
      </c>
      <c r="M1695" s="825">
        <f t="shared" si="137"/>
        <v>40.213627735735315</v>
      </c>
      <c r="N1695" s="587">
        <v>60</v>
      </c>
      <c r="O1695" s="588">
        <f t="shared" si="133"/>
        <v>40.359000000000002</v>
      </c>
      <c r="P1695" s="735">
        <f t="shared" ca="1" si="135"/>
        <v>10</v>
      </c>
      <c r="Q1695" s="552">
        <f t="shared" ca="1" si="134"/>
        <v>2017.9499999999998</v>
      </c>
      <c r="R1695" s="563">
        <f t="shared" ca="1" si="136"/>
        <v>2017.9499999999998</v>
      </c>
      <c r="S1695" s="827" t="s">
        <v>4957</v>
      </c>
    </row>
    <row r="1696" spans="2:19" ht="50.1" customHeight="1" x14ac:dyDescent="0.25">
      <c r="B1696" s="858">
        <v>45558</v>
      </c>
      <c r="C1696" s="679">
        <v>45652</v>
      </c>
      <c r="D1696" s="679"/>
      <c r="E1696" s="753" t="s">
        <v>6208</v>
      </c>
      <c r="F1696" s="753" t="s">
        <v>6548</v>
      </c>
      <c r="G1696" s="761" t="s">
        <v>6223</v>
      </c>
      <c r="H1696" s="898">
        <v>240611501631</v>
      </c>
      <c r="I1696" s="613" t="s">
        <v>6226</v>
      </c>
      <c r="J1696" s="830" t="s">
        <v>6225</v>
      </c>
      <c r="K1696" s="825">
        <v>2421.54</v>
      </c>
      <c r="L1696" s="826">
        <v>60.216900000000003</v>
      </c>
      <c r="M1696" s="825">
        <f t="shared" si="137"/>
        <v>40.213627735735315</v>
      </c>
      <c r="N1696" s="587">
        <v>60</v>
      </c>
      <c r="O1696" s="588">
        <f t="shared" si="133"/>
        <v>40.359000000000002</v>
      </c>
      <c r="P1696" s="735">
        <f t="shared" ca="1" si="135"/>
        <v>10</v>
      </c>
      <c r="Q1696" s="552">
        <f t="shared" ca="1" si="134"/>
        <v>2017.9499999999998</v>
      </c>
      <c r="R1696" s="563">
        <f t="shared" ca="1" si="136"/>
        <v>2017.9499999999998</v>
      </c>
      <c r="S1696" s="827" t="s">
        <v>4957</v>
      </c>
    </row>
    <row r="1697" spans="2:19" ht="50.1" customHeight="1" x14ac:dyDescent="0.25">
      <c r="B1697" s="858">
        <v>45558</v>
      </c>
      <c r="C1697" s="679">
        <v>45652</v>
      </c>
      <c r="D1697" s="679"/>
      <c r="E1697" s="753" t="s">
        <v>6209</v>
      </c>
      <c r="F1697" s="753" t="s">
        <v>6549</v>
      </c>
      <c r="G1697" s="761" t="s">
        <v>6223</v>
      </c>
      <c r="H1697" s="898">
        <v>240611502357</v>
      </c>
      <c r="I1697" s="613" t="s">
        <v>6226</v>
      </c>
      <c r="J1697" s="830" t="s">
        <v>6225</v>
      </c>
      <c r="K1697" s="825">
        <v>2421.54</v>
      </c>
      <c r="L1697" s="826">
        <v>60.216900000000003</v>
      </c>
      <c r="M1697" s="825">
        <f t="shared" si="137"/>
        <v>40.213627735735315</v>
      </c>
      <c r="N1697" s="587">
        <v>60</v>
      </c>
      <c r="O1697" s="588">
        <f t="shared" si="133"/>
        <v>40.359000000000002</v>
      </c>
      <c r="P1697" s="735">
        <f t="shared" ca="1" si="135"/>
        <v>10</v>
      </c>
      <c r="Q1697" s="552">
        <f t="shared" ca="1" si="134"/>
        <v>2017.9499999999998</v>
      </c>
      <c r="R1697" s="563">
        <f t="shared" ca="1" si="136"/>
        <v>2017.9499999999998</v>
      </c>
      <c r="S1697" s="827" t="s">
        <v>4957</v>
      </c>
    </row>
    <row r="1698" spans="2:19" ht="50.1" customHeight="1" x14ac:dyDescent="0.25">
      <c r="B1698" s="858">
        <v>45558</v>
      </c>
      <c r="C1698" s="679">
        <v>45652</v>
      </c>
      <c r="D1698" s="679"/>
      <c r="E1698" s="753" t="s">
        <v>6210</v>
      </c>
      <c r="F1698" s="753" t="s">
        <v>6550</v>
      </c>
      <c r="G1698" s="761" t="s">
        <v>6223</v>
      </c>
      <c r="H1698" s="898">
        <v>240611502402</v>
      </c>
      <c r="I1698" s="613" t="s">
        <v>6226</v>
      </c>
      <c r="J1698" s="830" t="s">
        <v>6225</v>
      </c>
      <c r="K1698" s="825">
        <v>2421.54</v>
      </c>
      <c r="L1698" s="826">
        <v>60.216900000000003</v>
      </c>
      <c r="M1698" s="825">
        <f t="shared" si="137"/>
        <v>40.213627735735315</v>
      </c>
      <c r="N1698" s="587">
        <v>60</v>
      </c>
      <c r="O1698" s="588">
        <f t="shared" si="133"/>
        <v>40.359000000000002</v>
      </c>
      <c r="P1698" s="735">
        <f t="shared" ca="1" si="135"/>
        <v>10</v>
      </c>
      <c r="Q1698" s="552">
        <f t="shared" ca="1" si="134"/>
        <v>2017.9499999999998</v>
      </c>
      <c r="R1698" s="563">
        <f t="shared" ca="1" si="136"/>
        <v>2017.9499999999998</v>
      </c>
      <c r="S1698" s="827" t="s">
        <v>4957</v>
      </c>
    </row>
    <row r="1699" spans="2:19" ht="50.1" customHeight="1" x14ac:dyDescent="0.25">
      <c r="B1699" s="858">
        <v>45558</v>
      </c>
      <c r="C1699" s="679">
        <v>45652</v>
      </c>
      <c r="D1699" s="679"/>
      <c r="E1699" s="753" t="s">
        <v>6211</v>
      </c>
      <c r="F1699" s="753" t="s">
        <v>6551</v>
      </c>
      <c r="G1699" s="761" t="s">
        <v>6223</v>
      </c>
      <c r="H1699" s="898">
        <v>240611502065</v>
      </c>
      <c r="I1699" s="613" t="s">
        <v>6226</v>
      </c>
      <c r="J1699" s="830" t="s">
        <v>6225</v>
      </c>
      <c r="K1699" s="825">
        <v>2421.54</v>
      </c>
      <c r="L1699" s="826">
        <v>60.216900000000003</v>
      </c>
      <c r="M1699" s="825">
        <f t="shared" si="137"/>
        <v>40.213627735735315</v>
      </c>
      <c r="N1699" s="587">
        <v>60</v>
      </c>
      <c r="O1699" s="588">
        <f t="shared" si="133"/>
        <v>40.359000000000002</v>
      </c>
      <c r="P1699" s="735">
        <f t="shared" ca="1" si="135"/>
        <v>10</v>
      </c>
      <c r="Q1699" s="552">
        <f t="shared" ca="1" si="134"/>
        <v>2017.9499999999998</v>
      </c>
      <c r="R1699" s="563">
        <f t="shared" ca="1" si="136"/>
        <v>2017.9499999999998</v>
      </c>
      <c r="S1699" s="827" t="s">
        <v>4957</v>
      </c>
    </row>
    <row r="1700" spans="2:19" ht="50.1" customHeight="1" x14ac:dyDescent="0.25">
      <c r="B1700" s="858">
        <v>45558</v>
      </c>
      <c r="C1700" s="679">
        <v>45652</v>
      </c>
      <c r="D1700" s="679"/>
      <c r="E1700" s="753" t="s">
        <v>6213</v>
      </c>
      <c r="F1700" s="753" t="s">
        <v>6552</v>
      </c>
      <c r="G1700" s="761" t="s">
        <v>6223</v>
      </c>
      <c r="H1700" s="898">
        <v>240611502424</v>
      </c>
      <c r="I1700" s="613" t="s">
        <v>6226</v>
      </c>
      <c r="J1700" s="830" t="s">
        <v>6225</v>
      </c>
      <c r="K1700" s="825">
        <v>2421.54</v>
      </c>
      <c r="L1700" s="826">
        <v>60.216900000000003</v>
      </c>
      <c r="M1700" s="825">
        <f t="shared" si="137"/>
        <v>40.213627735735315</v>
      </c>
      <c r="N1700" s="587">
        <v>60</v>
      </c>
      <c r="O1700" s="588">
        <f t="shared" si="133"/>
        <v>40.359000000000002</v>
      </c>
      <c r="P1700" s="735">
        <f t="shared" ca="1" si="135"/>
        <v>10</v>
      </c>
      <c r="Q1700" s="552">
        <f t="shared" ca="1" si="134"/>
        <v>2017.9499999999998</v>
      </c>
      <c r="R1700" s="563">
        <f t="shared" ca="1" si="136"/>
        <v>2017.9499999999998</v>
      </c>
      <c r="S1700" s="827" t="s">
        <v>4957</v>
      </c>
    </row>
    <row r="1701" spans="2:19" ht="50.1" customHeight="1" x14ac:dyDescent="0.25">
      <c r="B1701" s="858">
        <v>45558</v>
      </c>
      <c r="C1701" s="679">
        <v>45652</v>
      </c>
      <c r="D1701" s="679"/>
      <c r="E1701" s="753" t="s">
        <v>6214</v>
      </c>
      <c r="F1701" s="753" t="s">
        <v>6553</v>
      </c>
      <c r="G1701" s="761" t="s">
        <v>6223</v>
      </c>
      <c r="H1701" s="898">
        <v>240611502175</v>
      </c>
      <c r="I1701" s="613" t="s">
        <v>6226</v>
      </c>
      <c r="J1701" s="830" t="s">
        <v>6225</v>
      </c>
      <c r="K1701" s="825">
        <v>2421.54</v>
      </c>
      <c r="L1701" s="826">
        <v>60.216900000000003</v>
      </c>
      <c r="M1701" s="825">
        <f t="shared" si="137"/>
        <v>40.213627735735315</v>
      </c>
      <c r="N1701" s="587">
        <v>60</v>
      </c>
      <c r="O1701" s="588">
        <f t="shared" si="133"/>
        <v>40.359000000000002</v>
      </c>
      <c r="P1701" s="735">
        <f t="shared" ca="1" si="135"/>
        <v>10</v>
      </c>
      <c r="Q1701" s="552">
        <f t="shared" ca="1" si="134"/>
        <v>2017.9499999999998</v>
      </c>
      <c r="R1701" s="563">
        <f t="shared" ca="1" si="136"/>
        <v>2017.9499999999998</v>
      </c>
      <c r="S1701" s="827" t="s">
        <v>4957</v>
      </c>
    </row>
    <row r="1702" spans="2:19" ht="50.1" customHeight="1" x14ac:dyDescent="0.25">
      <c r="B1702" s="858">
        <v>45558</v>
      </c>
      <c r="C1702" s="679">
        <v>45652</v>
      </c>
      <c r="D1702" s="679"/>
      <c r="E1702" s="753" t="s">
        <v>6215</v>
      </c>
      <c r="F1702" s="753" t="s">
        <v>6554</v>
      </c>
      <c r="G1702" s="761" t="s">
        <v>6223</v>
      </c>
      <c r="H1702" s="898">
        <v>240611502169</v>
      </c>
      <c r="I1702" s="613" t="s">
        <v>6226</v>
      </c>
      <c r="J1702" s="830" t="s">
        <v>6225</v>
      </c>
      <c r="K1702" s="825">
        <v>2421.54</v>
      </c>
      <c r="L1702" s="826">
        <v>60.216900000000003</v>
      </c>
      <c r="M1702" s="825">
        <f t="shared" si="137"/>
        <v>40.213627735735315</v>
      </c>
      <c r="N1702" s="587">
        <v>60</v>
      </c>
      <c r="O1702" s="588">
        <f t="shared" si="133"/>
        <v>40.359000000000002</v>
      </c>
      <c r="P1702" s="735">
        <f t="shared" ca="1" si="135"/>
        <v>10</v>
      </c>
      <c r="Q1702" s="552">
        <f t="shared" ca="1" si="134"/>
        <v>2017.9499999999998</v>
      </c>
      <c r="R1702" s="563">
        <f t="shared" ca="1" si="136"/>
        <v>2017.9499999999998</v>
      </c>
      <c r="S1702" s="827" t="s">
        <v>4957</v>
      </c>
    </row>
    <row r="1703" spans="2:19" ht="50.1" customHeight="1" x14ac:dyDescent="0.25">
      <c r="B1703" s="858">
        <v>45558</v>
      </c>
      <c r="C1703" s="679">
        <v>45652</v>
      </c>
      <c r="D1703" s="679"/>
      <c r="E1703" s="753" t="s">
        <v>6216</v>
      </c>
      <c r="F1703" s="753" t="s">
        <v>6555</v>
      </c>
      <c r="G1703" s="761" t="s">
        <v>6223</v>
      </c>
      <c r="H1703" s="898">
        <v>240611502394</v>
      </c>
      <c r="I1703" s="613" t="s">
        <v>6226</v>
      </c>
      <c r="J1703" s="830" t="s">
        <v>6225</v>
      </c>
      <c r="K1703" s="825">
        <v>2421.54</v>
      </c>
      <c r="L1703" s="826">
        <v>60.216900000000003</v>
      </c>
      <c r="M1703" s="825">
        <f t="shared" si="137"/>
        <v>40.213627735735315</v>
      </c>
      <c r="N1703" s="587">
        <v>60</v>
      </c>
      <c r="O1703" s="588">
        <f t="shared" si="133"/>
        <v>40.359000000000002</v>
      </c>
      <c r="P1703" s="735">
        <f t="shared" ca="1" si="135"/>
        <v>10</v>
      </c>
      <c r="Q1703" s="552">
        <f t="shared" ca="1" si="134"/>
        <v>2017.9499999999998</v>
      </c>
      <c r="R1703" s="563">
        <f t="shared" ca="1" si="136"/>
        <v>2017.9499999999998</v>
      </c>
      <c r="S1703" s="827" t="s">
        <v>4957</v>
      </c>
    </row>
    <row r="1704" spans="2:19" ht="50.1" customHeight="1" x14ac:dyDescent="0.25">
      <c r="B1704" s="858">
        <v>45558</v>
      </c>
      <c r="C1704" s="679">
        <v>45652</v>
      </c>
      <c r="D1704" s="679"/>
      <c r="E1704" s="753" t="s">
        <v>6217</v>
      </c>
      <c r="F1704" s="753" t="s">
        <v>6556</v>
      </c>
      <c r="G1704" s="761" t="s">
        <v>6223</v>
      </c>
      <c r="H1704" s="898">
        <v>24061150297</v>
      </c>
      <c r="I1704" s="613" t="s">
        <v>6226</v>
      </c>
      <c r="J1704" s="830" t="s">
        <v>6225</v>
      </c>
      <c r="K1704" s="825">
        <v>2421.54</v>
      </c>
      <c r="L1704" s="826">
        <v>60.216900000000003</v>
      </c>
      <c r="M1704" s="825">
        <f t="shared" si="137"/>
        <v>40.213627735735315</v>
      </c>
      <c r="N1704" s="587">
        <v>60</v>
      </c>
      <c r="O1704" s="588">
        <f t="shared" si="133"/>
        <v>40.359000000000002</v>
      </c>
      <c r="P1704" s="735">
        <f t="shared" ca="1" si="135"/>
        <v>10</v>
      </c>
      <c r="Q1704" s="552">
        <f t="shared" ca="1" si="134"/>
        <v>2017.9499999999998</v>
      </c>
      <c r="R1704" s="563">
        <f t="shared" ca="1" si="136"/>
        <v>2017.9499999999998</v>
      </c>
      <c r="S1704" s="827" t="s">
        <v>4957</v>
      </c>
    </row>
    <row r="1705" spans="2:19" ht="50.1" customHeight="1" x14ac:dyDescent="0.25">
      <c r="B1705" s="858">
        <v>45558</v>
      </c>
      <c r="C1705" s="679">
        <v>45652</v>
      </c>
      <c r="D1705" s="679"/>
      <c r="E1705" s="753" t="s">
        <v>6218</v>
      </c>
      <c r="F1705" s="753" t="s">
        <v>6557</v>
      </c>
      <c r="G1705" s="761" t="s">
        <v>6223</v>
      </c>
      <c r="H1705" s="898">
        <v>240611500878</v>
      </c>
      <c r="I1705" s="613" t="s">
        <v>6226</v>
      </c>
      <c r="J1705" s="830" t="s">
        <v>6225</v>
      </c>
      <c r="K1705" s="825">
        <v>2421.54</v>
      </c>
      <c r="L1705" s="826">
        <v>60.216900000000003</v>
      </c>
      <c r="M1705" s="825">
        <f t="shared" si="137"/>
        <v>40.213627735735315</v>
      </c>
      <c r="N1705" s="587">
        <v>60</v>
      </c>
      <c r="O1705" s="588">
        <f t="shared" si="133"/>
        <v>40.359000000000002</v>
      </c>
      <c r="P1705" s="735">
        <f t="shared" ca="1" si="135"/>
        <v>10</v>
      </c>
      <c r="Q1705" s="552">
        <f t="shared" ca="1" si="134"/>
        <v>2017.9499999999998</v>
      </c>
      <c r="R1705" s="563">
        <f t="shared" ca="1" si="136"/>
        <v>2017.9499999999998</v>
      </c>
      <c r="S1705" s="827" t="s">
        <v>4957</v>
      </c>
    </row>
    <row r="1706" spans="2:19" ht="50.1" customHeight="1" x14ac:dyDescent="0.25">
      <c r="B1706" s="858">
        <v>45558</v>
      </c>
      <c r="C1706" s="679">
        <v>45652</v>
      </c>
      <c r="D1706" s="679"/>
      <c r="E1706" s="753" t="s">
        <v>6219</v>
      </c>
      <c r="F1706" s="753" t="s">
        <v>6558</v>
      </c>
      <c r="G1706" s="761" t="s">
        <v>6223</v>
      </c>
      <c r="H1706" s="898">
        <v>240611501629</v>
      </c>
      <c r="I1706" s="613" t="s">
        <v>6226</v>
      </c>
      <c r="J1706" s="830" t="s">
        <v>6225</v>
      </c>
      <c r="K1706" s="825">
        <v>2421.54</v>
      </c>
      <c r="L1706" s="826">
        <v>60.216900000000003</v>
      </c>
      <c r="M1706" s="825">
        <f t="shared" si="137"/>
        <v>40.213627735735315</v>
      </c>
      <c r="N1706" s="587">
        <v>60</v>
      </c>
      <c r="O1706" s="588">
        <f t="shared" si="133"/>
        <v>40.359000000000002</v>
      </c>
      <c r="P1706" s="735">
        <f t="shared" ca="1" si="135"/>
        <v>10</v>
      </c>
      <c r="Q1706" s="552">
        <f t="shared" ca="1" si="134"/>
        <v>2017.9499999999998</v>
      </c>
      <c r="R1706" s="563">
        <f t="shared" ca="1" si="136"/>
        <v>2017.9499999999998</v>
      </c>
      <c r="S1706" s="827" t="s">
        <v>4957</v>
      </c>
    </row>
    <row r="1707" spans="2:19" ht="50.1" customHeight="1" x14ac:dyDescent="0.25">
      <c r="B1707" s="858">
        <v>45558</v>
      </c>
      <c r="C1707" s="679">
        <v>45652</v>
      </c>
      <c r="D1707" s="679"/>
      <c r="E1707" s="753" t="s">
        <v>6220</v>
      </c>
      <c r="F1707" s="753" t="s">
        <v>6559</v>
      </c>
      <c r="G1707" s="761" t="s">
        <v>6223</v>
      </c>
      <c r="H1707" s="898">
        <v>240611502358</v>
      </c>
      <c r="I1707" s="613" t="s">
        <v>6226</v>
      </c>
      <c r="J1707" s="830" t="s">
        <v>6225</v>
      </c>
      <c r="K1707" s="825">
        <v>2421.54</v>
      </c>
      <c r="L1707" s="826">
        <v>60.216900000000003</v>
      </c>
      <c r="M1707" s="825">
        <f t="shared" si="137"/>
        <v>40.213627735735315</v>
      </c>
      <c r="N1707" s="587">
        <v>60</v>
      </c>
      <c r="O1707" s="588">
        <f t="shared" si="133"/>
        <v>40.359000000000002</v>
      </c>
      <c r="P1707" s="735">
        <f t="shared" ca="1" si="135"/>
        <v>10</v>
      </c>
      <c r="Q1707" s="552">
        <f t="shared" ca="1" si="134"/>
        <v>2017.9499999999998</v>
      </c>
      <c r="R1707" s="563">
        <f t="shared" ca="1" si="136"/>
        <v>2017.9499999999998</v>
      </c>
      <c r="S1707" s="827" t="s">
        <v>4957</v>
      </c>
    </row>
    <row r="1708" spans="2:19" ht="50.1" customHeight="1" x14ac:dyDescent="0.25">
      <c r="B1708" s="858">
        <v>45558</v>
      </c>
      <c r="C1708" s="679">
        <v>45652</v>
      </c>
      <c r="D1708" s="679"/>
      <c r="E1708" s="753" t="s">
        <v>6221</v>
      </c>
      <c r="F1708" s="753" t="s">
        <v>6560</v>
      </c>
      <c r="G1708" s="761" t="s">
        <v>6223</v>
      </c>
      <c r="H1708" s="898">
        <v>240611502404</v>
      </c>
      <c r="I1708" s="613" t="s">
        <v>6226</v>
      </c>
      <c r="J1708" s="830" t="s">
        <v>6225</v>
      </c>
      <c r="K1708" s="825">
        <v>2421.54</v>
      </c>
      <c r="L1708" s="826">
        <v>60.216900000000003</v>
      </c>
      <c r="M1708" s="825">
        <f t="shared" si="137"/>
        <v>40.213627735735315</v>
      </c>
      <c r="N1708" s="587">
        <v>60</v>
      </c>
      <c r="O1708" s="588">
        <f t="shared" si="133"/>
        <v>40.359000000000002</v>
      </c>
      <c r="P1708" s="735">
        <f t="shared" ca="1" si="135"/>
        <v>10</v>
      </c>
      <c r="Q1708" s="552">
        <f t="shared" ca="1" si="134"/>
        <v>2017.9499999999998</v>
      </c>
      <c r="R1708" s="563">
        <f t="shared" ca="1" si="136"/>
        <v>2017.9499999999998</v>
      </c>
      <c r="S1708" s="827" t="s">
        <v>4957</v>
      </c>
    </row>
    <row r="1709" spans="2:19" ht="50.1" customHeight="1" x14ac:dyDescent="0.25">
      <c r="B1709" s="858">
        <v>45558</v>
      </c>
      <c r="C1709" s="679">
        <v>45652</v>
      </c>
      <c r="D1709" s="679"/>
      <c r="E1709" s="753" t="s">
        <v>6222</v>
      </c>
      <c r="F1709" s="753" t="s">
        <v>6561</v>
      </c>
      <c r="G1709" s="761" t="s">
        <v>6223</v>
      </c>
      <c r="H1709" s="898">
        <v>240611501516</v>
      </c>
      <c r="I1709" s="613" t="s">
        <v>6226</v>
      </c>
      <c r="J1709" s="830" t="s">
        <v>6225</v>
      </c>
      <c r="K1709" s="825">
        <v>2421.54</v>
      </c>
      <c r="L1709" s="826">
        <v>60.216900000000003</v>
      </c>
      <c r="M1709" s="825">
        <f t="shared" si="137"/>
        <v>40.213627735735315</v>
      </c>
      <c r="N1709" s="587">
        <v>60</v>
      </c>
      <c r="O1709" s="588">
        <f t="shared" si="133"/>
        <v>40.359000000000002</v>
      </c>
      <c r="P1709" s="735">
        <f t="shared" ca="1" si="135"/>
        <v>10</v>
      </c>
      <c r="Q1709" s="552">
        <f t="shared" ca="1" si="134"/>
        <v>2017.9499999999998</v>
      </c>
      <c r="R1709" s="563">
        <f t="shared" ca="1" si="136"/>
        <v>2017.9499999999998</v>
      </c>
      <c r="S1709" s="827" t="s">
        <v>4957</v>
      </c>
    </row>
    <row r="1710" spans="2:19" ht="50.1" customHeight="1" x14ac:dyDescent="0.25">
      <c r="B1710" s="858">
        <v>45558</v>
      </c>
      <c r="C1710" s="679">
        <v>45652</v>
      </c>
      <c r="D1710" s="679"/>
      <c r="E1710" s="753" t="s">
        <v>6222</v>
      </c>
      <c r="F1710" s="753" t="s">
        <v>6562</v>
      </c>
      <c r="G1710" s="761" t="s">
        <v>6223</v>
      </c>
      <c r="H1710" s="898">
        <v>240611502105</v>
      </c>
      <c r="I1710" s="613" t="s">
        <v>6226</v>
      </c>
      <c r="J1710" s="830" t="s">
        <v>6225</v>
      </c>
      <c r="K1710" s="825">
        <v>2421.54</v>
      </c>
      <c r="L1710" s="826">
        <v>60.216900000000003</v>
      </c>
      <c r="M1710" s="825">
        <f t="shared" si="137"/>
        <v>40.213627735735315</v>
      </c>
      <c r="N1710" s="587">
        <v>60</v>
      </c>
      <c r="O1710" s="588">
        <f t="shared" si="133"/>
        <v>40.359000000000002</v>
      </c>
      <c r="P1710" s="735">
        <f t="shared" ca="1" si="135"/>
        <v>10</v>
      </c>
      <c r="Q1710" s="552">
        <f t="shared" ca="1" si="134"/>
        <v>2017.9499999999998</v>
      </c>
      <c r="R1710" s="563">
        <f t="shared" ca="1" si="136"/>
        <v>2017.9499999999998</v>
      </c>
      <c r="S1710" s="827" t="s">
        <v>4957</v>
      </c>
    </row>
    <row r="1711" spans="2:19" ht="50.1" customHeight="1" x14ac:dyDescent="0.25">
      <c r="B1711" s="858">
        <v>45558</v>
      </c>
      <c r="C1711" s="679">
        <v>45652</v>
      </c>
      <c r="D1711" s="679"/>
      <c r="E1711" s="753" t="s">
        <v>6222</v>
      </c>
      <c r="F1711" s="753" t="s">
        <v>6563</v>
      </c>
      <c r="G1711" s="761" t="s">
        <v>6223</v>
      </c>
      <c r="H1711" s="898">
        <v>240611502423</v>
      </c>
      <c r="I1711" s="613" t="s">
        <v>6226</v>
      </c>
      <c r="J1711" s="830" t="s">
        <v>6225</v>
      </c>
      <c r="K1711" s="825">
        <v>2421.54</v>
      </c>
      <c r="L1711" s="826">
        <v>60.216900000000003</v>
      </c>
      <c r="M1711" s="825">
        <f t="shared" si="137"/>
        <v>40.213627735735315</v>
      </c>
      <c r="N1711" s="587">
        <v>60</v>
      </c>
      <c r="O1711" s="588">
        <f t="shared" si="133"/>
        <v>40.359000000000002</v>
      </c>
      <c r="P1711" s="735">
        <f t="shared" ca="1" si="135"/>
        <v>10</v>
      </c>
      <c r="Q1711" s="552">
        <f t="shared" ca="1" si="134"/>
        <v>2017.9499999999998</v>
      </c>
      <c r="R1711" s="563">
        <f t="shared" ca="1" si="136"/>
        <v>2017.9499999999998</v>
      </c>
      <c r="S1711" s="827" t="s">
        <v>4957</v>
      </c>
    </row>
    <row r="1712" spans="2:19" ht="50.1" customHeight="1" x14ac:dyDescent="0.25">
      <c r="B1712" s="858">
        <v>45558</v>
      </c>
      <c r="C1712" s="679">
        <v>45652</v>
      </c>
      <c r="D1712" s="679"/>
      <c r="E1712" s="753" t="s">
        <v>6222</v>
      </c>
      <c r="F1712" s="753" t="s">
        <v>6564</v>
      </c>
      <c r="G1712" s="761" t="s">
        <v>6223</v>
      </c>
      <c r="H1712" s="898">
        <v>240611502173</v>
      </c>
      <c r="I1712" s="613" t="s">
        <v>6226</v>
      </c>
      <c r="J1712" s="830" t="s">
        <v>6225</v>
      </c>
      <c r="K1712" s="825">
        <v>2421.54</v>
      </c>
      <c r="L1712" s="826">
        <v>60.216900000000003</v>
      </c>
      <c r="M1712" s="825">
        <f t="shared" si="137"/>
        <v>40.213627735735315</v>
      </c>
      <c r="N1712" s="587">
        <v>60</v>
      </c>
      <c r="O1712" s="588">
        <f t="shared" si="133"/>
        <v>40.359000000000002</v>
      </c>
      <c r="P1712" s="735">
        <f t="shared" ca="1" si="135"/>
        <v>10</v>
      </c>
      <c r="Q1712" s="552">
        <f t="shared" ca="1" si="134"/>
        <v>2017.9499999999998</v>
      </c>
      <c r="R1712" s="563">
        <f t="shared" ca="1" si="136"/>
        <v>2017.9499999999998</v>
      </c>
      <c r="S1712" s="827" t="s">
        <v>4957</v>
      </c>
    </row>
    <row r="1713" spans="2:19" ht="50.1" customHeight="1" x14ac:dyDescent="0.25">
      <c r="B1713" s="858">
        <v>45558</v>
      </c>
      <c r="C1713" s="679">
        <v>45652</v>
      </c>
      <c r="D1713" s="679"/>
      <c r="E1713" s="753" t="s">
        <v>6222</v>
      </c>
      <c r="F1713" s="753" t="s">
        <v>6565</v>
      </c>
      <c r="G1713" s="761" t="s">
        <v>6223</v>
      </c>
      <c r="H1713" s="898">
        <v>240611500954</v>
      </c>
      <c r="I1713" s="613" t="s">
        <v>6226</v>
      </c>
      <c r="J1713" s="830" t="s">
        <v>6225</v>
      </c>
      <c r="K1713" s="825">
        <v>2421.54</v>
      </c>
      <c r="L1713" s="826">
        <v>60.216900000000003</v>
      </c>
      <c r="M1713" s="825">
        <f t="shared" si="137"/>
        <v>40.213627735735315</v>
      </c>
      <c r="N1713" s="587">
        <v>60</v>
      </c>
      <c r="O1713" s="588">
        <f t="shared" si="133"/>
        <v>40.359000000000002</v>
      </c>
      <c r="P1713" s="735">
        <f t="shared" ca="1" si="135"/>
        <v>10</v>
      </c>
      <c r="Q1713" s="552">
        <f t="shared" ca="1" si="134"/>
        <v>2017.9499999999998</v>
      </c>
      <c r="R1713" s="563">
        <f t="shared" ca="1" si="136"/>
        <v>2017.9499999999998</v>
      </c>
      <c r="S1713" s="827" t="s">
        <v>4957</v>
      </c>
    </row>
    <row r="1714" spans="2:19" ht="50.1" customHeight="1" x14ac:dyDescent="0.25">
      <c r="B1714" s="858">
        <v>45558</v>
      </c>
      <c r="C1714" s="679">
        <v>45652</v>
      </c>
      <c r="D1714" s="679"/>
      <c r="E1714" s="753" t="s">
        <v>6222</v>
      </c>
      <c r="F1714" s="753" t="s">
        <v>6566</v>
      </c>
      <c r="G1714" s="761" t="s">
        <v>6223</v>
      </c>
      <c r="H1714" s="898">
        <v>240611502396</v>
      </c>
      <c r="I1714" s="613" t="s">
        <v>6226</v>
      </c>
      <c r="J1714" s="830" t="s">
        <v>6225</v>
      </c>
      <c r="K1714" s="825">
        <v>2421.54</v>
      </c>
      <c r="L1714" s="826">
        <v>60.216900000000003</v>
      </c>
      <c r="M1714" s="825">
        <f t="shared" si="137"/>
        <v>40.213627735735315</v>
      </c>
      <c r="N1714" s="587">
        <v>60</v>
      </c>
      <c r="O1714" s="588">
        <f t="shared" si="133"/>
        <v>40.359000000000002</v>
      </c>
      <c r="P1714" s="735">
        <f t="shared" ca="1" si="135"/>
        <v>10</v>
      </c>
      <c r="Q1714" s="552">
        <f t="shared" ca="1" si="134"/>
        <v>2017.9499999999998</v>
      </c>
      <c r="R1714" s="563">
        <f t="shared" ca="1" si="136"/>
        <v>2017.9499999999998</v>
      </c>
      <c r="S1714" s="827" t="s">
        <v>4957</v>
      </c>
    </row>
    <row r="1715" spans="2:19" ht="50.1" customHeight="1" x14ac:dyDescent="0.25">
      <c r="B1715" s="858">
        <v>45558</v>
      </c>
      <c r="C1715" s="679">
        <v>45652</v>
      </c>
      <c r="D1715" s="679"/>
      <c r="E1715" s="753" t="s">
        <v>6222</v>
      </c>
      <c r="F1715" s="753" t="s">
        <v>6567</v>
      </c>
      <c r="G1715" s="816" t="s">
        <v>6223</v>
      </c>
      <c r="H1715" s="898">
        <v>240611502098</v>
      </c>
      <c r="I1715" s="626" t="s">
        <v>6226</v>
      </c>
      <c r="J1715" s="830" t="s">
        <v>6225</v>
      </c>
      <c r="K1715" s="825">
        <v>2421.29</v>
      </c>
      <c r="L1715" s="826">
        <v>60.216900000000003</v>
      </c>
      <c r="M1715" s="825">
        <f t="shared" si="137"/>
        <v>40.209476077313845</v>
      </c>
      <c r="N1715" s="817">
        <v>60</v>
      </c>
      <c r="O1715" s="818">
        <f t="shared" si="133"/>
        <v>40.354833333333332</v>
      </c>
      <c r="P1715" s="819">
        <f t="shared" ca="1" si="135"/>
        <v>10</v>
      </c>
      <c r="Q1715" s="820">
        <f t="shared" ca="1" si="134"/>
        <v>2017.7416666666668</v>
      </c>
      <c r="R1715" s="821">
        <f t="shared" ca="1" si="136"/>
        <v>2017.7416666666668</v>
      </c>
      <c r="S1715" s="827" t="s">
        <v>4957</v>
      </c>
    </row>
    <row r="1716" spans="2:19" ht="50.1" customHeight="1" x14ac:dyDescent="0.25">
      <c r="B1716" s="858">
        <v>45558</v>
      </c>
      <c r="C1716" s="679">
        <v>45652</v>
      </c>
      <c r="D1716" s="679"/>
      <c r="E1716" s="753" t="s">
        <v>6212</v>
      </c>
      <c r="F1716" s="753" t="s">
        <v>6568</v>
      </c>
      <c r="G1716" s="761" t="s">
        <v>6223</v>
      </c>
      <c r="H1716" s="898">
        <v>240611502107</v>
      </c>
      <c r="I1716" s="613" t="s">
        <v>6226</v>
      </c>
      <c r="J1716" s="830" t="s">
        <v>6225</v>
      </c>
      <c r="K1716" s="825">
        <v>2421.54</v>
      </c>
      <c r="L1716" s="826">
        <v>60.216900000000003</v>
      </c>
      <c r="M1716" s="825">
        <f t="shared" si="137"/>
        <v>40.213627735735315</v>
      </c>
      <c r="N1716" s="587">
        <v>60</v>
      </c>
      <c r="O1716" s="588">
        <f t="shared" si="133"/>
        <v>40.359000000000002</v>
      </c>
      <c r="P1716" s="735">
        <f t="shared" ca="1" si="135"/>
        <v>10</v>
      </c>
      <c r="Q1716" s="552">
        <f t="shared" ca="1" si="134"/>
        <v>2017.9499999999998</v>
      </c>
      <c r="R1716" s="563">
        <f t="shared" ca="1" si="136"/>
        <v>2017.9499999999998</v>
      </c>
      <c r="S1716" s="827" t="s">
        <v>4957</v>
      </c>
    </row>
    <row r="1717" spans="2:19" ht="50.1" customHeight="1" x14ac:dyDescent="0.25">
      <c r="B1717" s="864">
        <v>45629</v>
      </c>
      <c r="C1717" s="823">
        <v>45665</v>
      </c>
      <c r="D1717" s="823"/>
      <c r="E1717" s="520" t="s">
        <v>6252</v>
      </c>
      <c r="F1717" s="520" t="s">
        <v>6259</v>
      </c>
      <c r="G1717" s="761" t="s">
        <v>6267</v>
      </c>
      <c r="H1717" s="831" t="s">
        <v>6582</v>
      </c>
      <c r="I1717" s="613" t="s">
        <v>6996</v>
      </c>
      <c r="J1717" s="613" t="s">
        <v>6997</v>
      </c>
      <c r="K1717" s="825">
        <v>92300</v>
      </c>
      <c r="L1717" s="826">
        <v>60.476100000000002</v>
      </c>
      <c r="M1717" s="825">
        <f t="shared" si="137"/>
        <v>1526.2227557663275</v>
      </c>
      <c r="N1717" s="587">
        <v>60</v>
      </c>
      <c r="O1717" s="588">
        <f t="shared" ref="O1717:O1780" si="138">+K1717/N1717</f>
        <v>1538.3333333333333</v>
      </c>
      <c r="P1717" s="735">
        <f t="shared" ca="1" si="135"/>
        <v>7</v>
      </c>
      <c r="Q1717" s="552">
        <f t="shared" ca="1" si="134"/>
        <v>81531.666666666672</v>
      </c>
      <c r="R1717" s="563">
        <f t="shared" ca="1" si="136"/>
        <v>81531.666666666672</v>
      </c>
      <c r="S1717" s="827" t="s">
        <v>6269</v>
      </c>
    </row>
    <row r="1718" spans="2:19" ht="50.1" customHeight="1" x14ac:dyDescent="0.25">
      <c r="B1718" s="864">
        <v>45629</v>
      </c>
      <c r="C1718" s="823">
        <v>45665</v>
      </c>
      <c r="D1718" s="823"/>
      <c r="E1718" s="520" t="s">
        <v>6252</v>
      </c>
      <c r="F1718" s="520" t="s">
        <v>6260</v>
      </c>
      <c r="G1718" s="761" t="s">
        <v>6267</v>
      </c>
      <c r="H1718" s="831" t="s">
        <v>6583</v>
      </c>
      <c r="I1718" s="613" t="s">
        <v>6996</v>
      </c>
      <c r="J1718" s="613" t="s">
        <v>6997</v>
      </c>
      <c r="K1718" s="825">
        <v>92300</v>
      </c>
      <c r="L1718" s="826">
        <v>60.476100000000002</v>
      </c>
      <c r="M1718" s="825">
        <f t="shared" si="137"/>
        <v>1526.2227557663275</v>
      </c>
      <c r="N1718" s="587">
        <v>60</v>
      </c>
      <c r="O1718" s="588">
        <f t="shared" si="138"/>
        <v>1538.3333333333333</v>
      </c>
      <c r="P1718" s="735">
        <f t="shared" ca="1" si="135"/>
        <v>7</v>
      </c>
      <c r="Q1718" s="552">
        <f t="shared" ca="1" si="134"/>
        <v>81531.666666666672</v>
      </c>
      <c r="R1718" s="563">
        <f t="shared" ca="1" si="136"/>
        <v>81531.666666666672</v>
      </c>
      <c r="S1718" s="827" t="s">
        <v>6269</v>
      </c>
    </row>
    <row r="1719" spans="2:19" ht="39.950000000000003" customHeight="1" x14ac:dyDescent="0.25">
      <c r="B1719" s="864">
        <v>45629</v>
      </c>
      <c r="C1719" s="823">
        <v>45665</v>
      </c>
      <c r="D1719" s="823"/>
      <c r="E1719" s="520" t="s">
        <v>6252</v>
      </c>
      <c r="F1719" s="520" t="s">
        <v>6253</v>
      </c>
      <c r="G1719" s="761" t="s">
        <v>6254</v>
      </c>
      <c r="H1719" s="831" t="s">
        <v>6577</v>
      </c>
      <c r="I1719" s="613" t="s">
        <v>6996</v>
      </c>
      <c r="J1719" s="613" t="s">
        <v>6997</v>
      </c>
      <c r="K1719" s="825">
        <v>92300</v>
      </c>
      <c r="L1719" s="826">
        <v>60.476100000000002</v>
      </c>
      <c r="M1719" s="825">
        <f>+K1719/L1719</f>
        <v>1526.2227557663275</v>
      </c>
      <c r="N1719" s="587">
        <v>60</v>
      </c>
      <c r="O1719" s="588">
        <f>+K1719/N1719</f>
        <v>1538.3333333333333</v>
      </c>
      <c r="P1719" s="735">
        <f ca="1">IF(B1719&lt;&gt;0,(ROUND((NOW()-B1719)/30,0)),0)</f>
        <v>7</v>
      </c>
      <c r="Q1719" s="552">
        <f ca="1">IF(OR(K1719=0,N1719=0,P1719=0),0,K1719-(O1719*P1719))</f>
        <v>81531.666666666672</v>
      </c>
      <c r="R1719" s="563">
        <f ca="1">IF(Q1719&lt;1,1,Q1719)</f>
        <v>81531.666666666672</v>
      </c>
      <c r="S1719" s="827" t="s">
        <v>6269</v>
      </c>
    </row>
    <row r="1720" spans="2:19" ht="33.75" customHeight="1" x14ac:dyDescent="0.25">
      <c r="B1720" s="864">
        <v>45629</v>
      </c>
      <c r="C1720" s="823">
        <v>45665</v>
      </c>
      <c r="D1720" s="823"/>
      <c r="E1720" s="520" t="s">
        <v>6252</v>
      </c>
      <c r="F1720" s="520" t="s">
        <v>6262</v>
      </c>
      <c r="G1720" s="761" t="s">
        <v>6268</v>
      </c>
      <c r="H1720" s="831" t="s">
        <v>6585</v>
      </c>
      <c r="I1720" s="613" t="s">
        <v>6998</v>
      </c>
      <c r="J1720" s="613" t="s">
        <v>4399</v>
      </c>
      <c r="K1720" s="825">
        <v>92300</v>
      </c>
      <c r="L1720" s="826">
        <v>60.476100000000002</v>
      </c>
      <c r="M1720" s="825">
        <f>+K1720/L1720</f>
        <v>1526.2227557663275</v>
      </c>
      <c r="N1720" s="587">
        <v>60</v>
      </c>
      <c r="O1720" s="588">
        <f>+K1720/N1720</f>
        <v>1538.3333333333333</v>
      </c>
      <c r="P1720" s="735">
        <f ca="1">IF(B1720&lt;&gt;0,(ROUND((NOW()-B1720)/30,0)),0)</f>
        <v>7</v>
      </c>
      <c r="Q1720" s="552">
        <f ca="1">IF(OR(K1720=0,N1720=0,P1720=0),0,K1720-(O1720*P1720))</f>
        <v>81531.666666666672</v>
      </c>
      <c r="R1720" s="563">
        <f ca="1">IF(Q1720&lt;1,1,Q1720)</f>
        <v>81531.666666666672</v>
      </c>
      <c r="S1720" s="827" t="s">
        <v>6269</v>
      </c>
    </row>
    <row r="1721" spans="2:19" ht="33.75" customHeight="1" x14ac:dyDescent="0.25">
      <c r="B1721" s="864">
        <v>45629</v>
      </c>
      <c r="C1721" s="823">
        <v>45665</v>
      </c>
      <c r="D1721" s="823"/>
      <c r="E1721" s="520" t="s">
        <v>6252</v>
      </c>
      <c r="F1721" s="520" t="s">
        <v>6266</v>
      </c>
      <c r="G1721" s="761" t="s">
        <v>6267</v>
      </c>
      <c r="H1721" s="831" t="s">
        <v>6590</v>
      </c>
      <c r="I1721" s="613" t="s">
        <v>6998</v>
      </c>
      <c r="J1721" s="613" t="s">
        <v>4399</v>
      </c>
      <c r="K1721" s="825">
        <v>92300</v>
      </c>
      <c r="L1721" s="826">
        <v>60.476100000000002</v>
      </c>
      <c r="M1721" s="825">
        <f t="shared" si="137"/>
        <v>1526.2227557663275</v>
      </c>
      <c r="N1721" s="587">
        <v>60</v>
      </c>
      <c r="O1721" s="588">
        <f t="shared" si="138"/>
        <v>1538.3333333333333</v>
      </c>
      <c r="P1721" s="735">
        <f t="shared" ca="1" si="135"/>
        <v>7</v>
      </c>
      <c r="Q1721" s="552">
        <f t="shared" ca="1" si="134"/>
        <v>81531.666666666672</v>
      </c>
      <c r="R1721" s="563">
        <f t="shared" ca="1" si="136"/>
        <v>81531.666666666672</v>
      </c>
      <c r="S1721" s="827" t="s">
        <v>6269</v>
      </c>
    </row>
    <row r="1722" spans="2:19" ht="39.950000000000003" customHeight="1" x14ac:dyDescent="0.25">
      <c r="B1722" s="864">
        <v>45629</v>
      </c>
      <c r="C1722" s="823">
        <v>45665</v>
      </c>
      <c r="D1722" s="823"/>
      <c r="E1722" s="520" t="s">
        <v>6252</v>
      </c>
      <c r="F1722" s="520" t="s">
        <v>6257</v>
      </c>
      <c r="G1722" s="761" t="s">
        <v>6254</v>
      </c>
      <c r="H1722" s="831" t="s">
        <v>6580</v>
      </c>
      <c r="I1722" s="613" t="s">
        <v>6998</v>
      </c>
      <c r="J1722" s="613" t="s">
        <v>4399</v>
      </c>
      <c r="K1722" s="825">
        <v>92300</v>
      </c>
      <c r="L1722" s="826">
        <v>60.476100000000002</v>
      </c>
      <c r="M1722" s="825">
        <f>+K1722/L1722</f>
        <v>1526.2227557663275</v>
      </c>
      <c r="N1722" s="587">
        <v>60</v>
      </c>
      <c r="O1722" s="588">
        <f>+K1722/N1722</f>
        <v>1538.3333333333333</v>
      </c>
      <c r="P1722" s="735">
        <f ca="1">IF(B1722&lt;&gt;0,(ROUND((NOW()-B1722)/30,0)),0)</f>
        <v>7</v>
      </c>
      <c r="Q1722" s="552">
        <f ca="1">IF(OR(K1722=0,N1722=0,P1722=0),0,K1722-(O1722*P1722))</f>
        <v>81531.666666666672</v>
      </c>
      <c r="R1722" s="563">
        <f ca="1">IF(Q1722&lt;1,1,Q1722)</f>
        <v>81531.666666666672</v>
      </c>
      <c r="S1722" s="827" t="s">
        <v>6269</v>
      </c>
    </row>
    <row r="1723" spans="2:19" ht="33.75" customHeight="1" x14ac:dyDescent="0.25">
      <c r="B1723" s="864">
        <v>45629</v>
      </c>
      <c r="C1723" s="823">
        <v>45665</v>
      </c>
      <c r="D1723" s="823"/>
      <c r="E1723" s="520" t="s">
        <v>6252</v>
      </c>
      <c r="F1723" s="520" t="s">
        <v>6261</v>
      </c>
      <c r="G1723" s="761" t="s">
        <v>6268</v>
      </c>
      <c r="H1723" s="831" t="s">
        <v>6584</v>
      </c>
      <c r="I1723" s="613" t="s">
        <v>6999</v>
      </c>
      <c r="J1723" s="613" t="s">
        <v>6995</v>
      </c>
      <c r="K1723" s="825">
        <v>92300</v>
      </c>
      <c r="L1723" s="826">
        <v>60.476100000000002</v>
      </c>
      <c r="M1723" s="825">
        <f t="shared" si="137"/>
        <v>1526.2227557663275</v>
      </c>
      <c r="N1723" s="587">
        <v>60</v>
      </c>
      <c r="O1723" s="588">
        <f t="shared" si="138"/>
        <v>1538.3333333333333</v>
      </c>
      <c r="P1723" s="735">
        <f t="shared" ca="1" si="135"/>
        <v>7</v>
      </c>
      <c r="Q1723" s="552">
        <f t="shared" ca="1" si="134"/>
        <v>81531.666666666672</v>
      </c>
      <c r="R1723" s="563">
        <f t="shared" ca="1" si="136"/>
        <v>81531.666666666672</v>
      </c>
      <c r="S1723" s="827" t="s">
        <v>6269</v>
      </c>
    </row>
    <row r="1724" spans="2:19" ht="48.75" customHeight="1" x14ac:dyDescent="0.25">
      <c r="B1724" s="864">
        <v>45629</v>
      </c>
      <c r="C1724" s="823">
        <v>45665</v>
      </c>
      <c r="D1724" s="823"/>
      <c r="E1724" s="520" t="s">
        <v>6252</v>
      </c>
      <c r="F1724" s="520" t="s">
        <v>6258</v>
      </c>
      <c r="G1724" s="761" t="s">
        <v>6254</v>
      </c>
      <c r="H1724" s="831" t="s">
        <v>6581</v>
      </c>
      <c r="I1724" s="613" t="s">
        <v>6999</v>
      </c>
      <c r="J1724" s="613" t="s">
        <v>6995</v>
      </c>
      <c r="K1724" s="825">
        <v>92300</v>
      </c>
      <c r="L1724" s="826">
        <v>60.476100000000002</v>
      </c>
      <c r="M1724" s="825">
        <f>+K1724/L1724</f>
        <v>1526.2227557663275</v>
      </c>
      <c r="N1724" s="587">
        <v>60</v>
      </c>
      <c r="O1724" s="588">
        <f>+K1724/N1724</f>
        <v>1538.3333333333333</v>
      </c>
      <c r="P1724" s="735">
        <f ca="1">IF(B1724&lt;&gt;0,(ROUND((NOW()-B1724)/30,0)),0)</f>
        <v>7</v>
      </c>
      <c r="Q1724" s="552">
        <f ca="1">IF(OR(K1724=0,N1724=0,P1724=0),0,K1724-(O1724*P1724))</f>
        <v>81531.666666666672</v>
      </c>
      <c r="R1724" s="563">
        <f ca="1">IF(Q1724&lt;1,1,Q1724)</f>
        <v>81531.666666666672</v>
      </c>
      <c r="S1724" s="827" t="s">
        <v>6269</v>
      </c>
    </row>
    <row r="1725" spans="2:19" ht="33.75" customHeight="1" x14ac:dyDescent="0.25">
      <c r="B1725" s="864">
        <v>45629</v>
      </c>
      <c r="C1725" s="823">
        <v>45665</v>
      </c>
      <c r="D1725" s="823"/>
      <c r="E1725" s="520" t="s">
        <v>6252</v>
      </c>
      <c r="F1725" s="520" t="s">
        <v>6264</v>
      </c>
      <c r="G1725" s="761" t="s">
        <v>6268</v>
      </c>
      <c r="H1725" s="831" t="s">
        <v>6587</v>
      </c>
      <c r="I1725" s="613" t="s">
        <v>6999</v>
      </c>
      <c r="J1725" s="613" t="s">
        <v>6995</v>
      </c>
      <c r="K1725" s="825">
        <v>92300</v>
      </c>
      <c r="L1725" s="826">
        <v>60.476100000000002</v>
      </c>
      <c r="M1725" s="825">
        <f>+K1725/L1725</f>
        <v>1526.2227557663275</v>
      </c>
      <c r="N1725" s="587">
        <v>60</v>
      </c>
      <c r="O1725" s="588">
        <f>+K1725/N1725</f>
        <v>1538.3333333333333</v>
      </c>
      <c r="P1725" s="735">
        <f ca="1">IF(B1725&lt;&gt;0,(ROUND((NOW()-B1725)/30,0)),0)</f>
        <v>7</v>
      </c>
      <c r="Q1725" s="552">
        <f ca="1">IF(OR(K1725=0,N1725=0,P1725=0),0,K1725-(O1725*P1725))</f>
        <v>81531.666666666672</v>
      </c>
      <c r="R1725" s="563">
        <f ca="1">IF(Q1725&lt;1,1,Q1725)</f>
        <v>81531.666666666672</v>
      </c>
      <c r="S1725" s="827" t="s">
        <v>6269</v>
      </c>
    </row>
    <row r="1726" spans="2:19" ht="39.950000000000003" customHeight="1" x14ac:dyDescent="0.25">
      <c r="B1726" s="864">
        <v>45629</v>
      </c>
      <c r="C1726" s="823">
        <v>45665</v>
      </c>
      <c r="D1726" s="823"/>
      <c r="E1726" s="520" t="s">
        <v>6252</v>
      </c>
      <c r="F1726" s="520" t="s">
        <v>6255</v>
      </c>
      <c r="G1726" s="761" t="s">
        <v>6254</v>
      </c>
      <c r="H1726" s="831" t="s">
        <v>6578</v>
      </c>
      <c r="I1726" s="613" t="s">
        <v>7000</v>
      </c>
      <c r="J1726" s="613" t="s">
        <v>6993</v>
      </c>
      <c r="K1726" s="825">
        <v>92300</v>
      </c>
      <c r="L1726" s="826">
        <v>60.476100000000002</v>
      </c>
      <c r="M1726" s="825">
        <f t="shared" si="137"/>
        <v>1526.2227557663275</v>
      </c>
      <c r="N1726" s="587">
        <v>60</v>
      </c>
      <c r="O1726" s="588">
        <f t="shared" si="138"/>
        <v>1538.3333333333333</v>
      </c>
      <c r="P1726" s="735">
        <f t="shared" ca="1" si="135"/>
        <v>7</v>
      </c>
      <c r="Q1726" s="552">
        <f t="shared" ca="1" si="134"/>
        <v>81531.666666666672</v>
      </c>
      <c r="R1726" s="563">
        <f t="shared" ca="1" si="136"/>
        <v>81531.666666666672</v>
      </c>
      <c r="S1726" s="827" t="s">
        <v>6269</v>
      </c>
    </row>
    <row r="1727" spans="2:19" ht="39.950000000000003" customHeight="1" x14ac:dyDescent="0.25">
      <c r="B1727" s="864">
        <v>45629</v>
      </c>
      <c r="C1727" s="823">
        <v>45665</v>
      </c>
      <c r="D1727" s="823"/>
      <c r="E1727" s="520" t="s">
        <v>6252</v>
      </c>
      <c r="F1727" s="520" t="s">
        <v>6256</v>
      </c>
      <c r="G1727" s="761" t="s">
        <v>6254</v>
      </c>
      <c r="H1727" s="831" t="s">
        <v>6579</v>
      </c>
      <c r="I1727" s="613" t="s">
        <v>7000</v>
      </c>
      <c r="J1727" s="613" t="s">
        <v>6993</v>
      </c>
      <c r="K1727" s="825">
        <v>92300</v>
      </c>
      <c r="L1727" s="826">
        <v>60.476100000000002</v>
      </c>
      <c r="M1727" s="825">
        <f t="shared" si="137"/>
        <v>1526.2227557663275</v>
      </c>
      <c r="N1727" s="587">
        <v>60</v>
      </c>
      <c r="O1727" s="588">
        <f t="shared" si="138"/>
        <v>1538.3333333333333</v>
      </c>
      <c r="P1727" s="735">
        <f t="shared" ca="1" si="135"/>
        <v>7</v>
      </c>
      <c r="Q1727" s="552">
        <f t="shared" ca="1" si="134"/>
        <v>81531.666666666672</v>
      </c>
      <c r="R1727" s="563">
        <f t="shared" ca="1" si="136"/>
        <v>81531.666666666672</v>
      </c>
      <c r="S1727" s="827" t="s">
        <v>6269</v>
      </c>
    </row>
    <row r="1728" spans="2:19" ht="33.75" customHeight="1" x14ac:dyDescent="0.25">
      <c r="B1728" s="864">
        <v>45629</v>
      </c>
      <c r="C1728" s="823">
        <v>45665</v>
      </c>
      <c r="D1728" s="823"/>
      <c r="E1728" s="520" t="s">
        <v>6252</v>
      </c>
      <c r="F1728" s="520" t="s">
        <v>6263</v>
      </c>
      <c r="G1728" s="761" t="s">
        <v>6268</v>
      </c>
      <c r="H1728" s="831" t="s">
        <v>6586</v>
      </c>
      <c r="I1728" s="613" t="s">
        <v>7083</v>
      </c>
      <c r="J1728" s="613" t="s">
        <v>6994</v>
      </c>
      <c r="K1728" s="825">
        <v>92300</v>
      </c>
      <c r="L1728" s="826">
        <v>60.476100000000002</v>
      </c>
      <c r="M1728" s="825">
        <f>+K1728/L1728</f>
        <v>1526.2227557663275</v>
      </c>
      <c r="N1728" s="587">
        <v>60</v>
      </c>
      <c r="O1728" s="588">
        <f>+K1728/N1728</f>
        <v>1538.3333333333333</v>
      </c>
      <c r="P1728" s="735">
        <f ca="1">IF(B1728&lt;&gt;0,(ROUND((NOW()-B1728)/30,0)),0)</f>
        <v>7</v>
      </c>
      <c r="Q1728" s="552">
        <f ca="1">IF(OR(K1728=0,N1728=0,P1728=0),0,K1728-(O1728*P1728))</f>
        <v>81531.666666666672</v>
      </c>
      <c r="R1728" s="563">
        <f ca="1">IF(Q1728&lt;1,1,Q1728)</f>
        <v>81531.666666666672</v>
      </c>
      <c r="S1728" s="827" t="s">
        <v>6269</v>
      </c>
    </row>
    <row r="1729" spans="2:19" ht="47.25" customHeight="1" x14ac:dyDescent="0.25">
      <c r="B1729" s="864">
        <v>45629</v>
      </c>
      <c r="C1729" s="823">
        <v>45665</v>
      </c>
      <c r="D1729" s="823"/>
      <c r="E1729" s="520" t="s">
        <v>6252</v>
      </c>
      <c r="F1729" s="520" t="s">
        <v>6265</v>
      </c>
      <c r="G1729" s="761" t="s">
        <v>6588</v>
      </c>
      <c r="H1729" s="831" t="s">
        <v>6589</v>
      </c>
      <c r="I1729" s="613" t="s">
        <v>7083</v>
      </c>
      <c r="J1729" s="613" t="s">
        <v>6994</v>
      </c>
      <c r="K1729" s="825">
        <v>92300</v>
      </c>
      <c r="L1729" s="826">
        <v>60.476100000000002</v>
      </c>
      <c r="M1729" s="825">
        <f t="shared" si="137"/>
        <v>1526.2227557663275</v>
      </c>
      <c r="N1729" s="587">
        <v>60</v>
      </c>
      <c r="O1729" s="588">
        <f t="shared" si="138"/>
        <v>1538.3333333333333</v>
      </c>
      <c r="P1729" s="735">
        <f t="shared" ca="1" si="135"/>
        <v>7</v>
      </c>
      <c r="Q1729" s="552">
        <f t="shared" ca="1" si="134"/>
        <v>81531.666666666672</v>
      </c>
      <c r="R1729" s="563">
        <f t="shared" ca="1" si="136"/>
        <v>81531.666666666672</v>
      </c>
      <c r="S1729" s="827" t="s">
        <v>6269</v>
      </c>
    </row>
    <row r="1730" spans="2:19" ht="45" customHeight="1" x14ac:dyDescent="0.25">
      <c r="B1730" s="864">
        <v>45636</v>
      </c>
      <c r="C1730" s="828" t="s">
        <v>6270</v>
      </c>
      <c r="D1730" s="823"/>
      <c r="E1730" s="520" t="s">
        <v>6271</v>
      </c>
      <c r="F1730" s="520" t="s">
        <v>6272</v>
      </c>
      <c r="G1730" s="761" t="s">
        <v>6346</v>
      </c>
      <c r="H1730" s="824" t="s">
        <v>6401</v>
      </c>
      <c r="I1730" s="829" t="s">
        <v>6226</v>
      </c>
      <c r="J1730" s="830" t="s">
        <v>6225</v>
      </c>
      <c r="K1730" s="825">
        <v>59174.61</v>
      </c>
      <c r="L1730" s="826">
        <v>60.910600000000002</v>
      </c>
      <c r="M1730" s="825">
        <f t="shared" si="137"/>
        <v>971.49937777661023</v>
      </c>
      <c r="N1730" s="587">
        <v>60</v>
      </c>
      <c r="O1730" s="588">
        <f t="shared" si="138"/>
        <v>986.24350000000004</v>
      </c>
      <c r="P1730" s="735">
        <f t="shared" ca="1" si="135"/>
        <v>7</v>
      </c>
      <c r="Q1730" s="552">
        <f t="shared" ref="Q1730:Q1793" ca="1" si="139">IF(OR(K1730=0,N1730=0,P1730=0),0,K1730-(O1730*P1730))</f>
        <v>52270.905500000001</v>
      </c>
      <c r="R1730" s="563">
        <f t="shared" ca="1" si="136"/>
        <v>52270.905500000001</v>
      </c>
      <c r="S1730" s="827" t="s">
        <v>4964</v>
      </c>
    </row>
    <row r="1731" spans="2:19" ht="45" customHeight="1" x14ac:dyDescent="0.25">
      <c r="B1731" s="864">
        <v>45636</v>
      </c>
      <c r="C1731" s="828" t="s">
        <v>6270</v>
      </c>
      <c r="D1731" s="823"/>
      <c r="E1731" s="520" t="s">
        <v>6271</v>
      </c>
      <c r="F1731" s="520" t="s">
        <v>6273</v>
      </c>
      <c r="G1731" s="761" t="s">
        <v>6346</v>
      </c>
      <c r="H1731" s="824" t="s">
        <v>6402</v>
      </c>
      <c r="I1731" s="829" t="s">
        <v>6226</v>
      </c>
      <c r="J1731" s="830" t="s">
        <v>6225</v>
      </c>
      <c r="K1731" s="825">
        <v>59174.61</v>
      </c>
      <c r="L1731" s="826">
        <v>60.910600000000002</v>
      </c>
      <c r="M1731" s="825">
        <f t="shared" si="137"/>
        <v>971.49937777661023</v>
      </c>
      <c r="N1731" s="587">
        <v>60</v>
      </c>
      <c r="O1731" s="588">
        <f t="shared" si="138"/>
        <v>986.24350000000004</v>
      </c>
      <c r="P1731" s="735">
        <f t="shared" ca="1" si="135"/>
        <v>7</v>
      </c>
      <c r="Q1731" s="552">
        <f t="shared" ca="1" si="139"/>
        <v>52270.905500000001</v>
      </c>
      <c r="R1731" s="563">
        <f t="shared" ca="1" si="136"/>
        <v>52270.905500000001</v>
      </c>
      <c r="S1731" s="827" t="s">
        <v>4964</v>
      </c>
    </row>
    <row r="1732" spans="2:19" ht="45" customHeight="1" x14ac:dyDescent="0.25">
      <c r="B1732" s="864">
        <v>45636</v>
      </c>
      <c r="C1732" s="828" t="s">
        <v>6270</v>
      </c>
      <c r="D1732" s="823"/>
      <c r="E1732" s="520" t="s">
        <v>6271</v>
      </c>
      <c r="F1732" s="520" t="s">
        <v>6274</v>
      </c>
      <c r="G1732" s="761" t="s">
        <v>6346</v>
      </c>
      <c r="H1732" s="831" t="s">
        <v>6403</v>
      </c>
      <c r="I1732" s="829" t="s">
        <v>6226</v>
      </c>
      <c r="J1732" s="830" t="s">
        <v>6225</v>
      </c>
      <c r="K1732" s="825">
        <v>59174.61</v>
      </c>
      <c r="L1732" s="826">
        <v>60.910600000000002</v>
      </c>
      <c r="M1732" s="825">
        <f t="shared" si="137"/>
        <v>971.49937777661023</v>
      </c>
      <c r="N1732" s="587">
        <v>60</v>
      </c>
      <c r="O1732" s="588">
        <f t="shared" si="138"/>
        <v>986.24350000000004</v>
      </c>
      <c r="P1732" s="735">
        <f t="shared" ca="1" si="135"/>
        <v>7</v>
      </c>
      <c r="Q1732" s="552">
        <f t="shared" ca="1" si="139"/>
        <v>52270.905500000001</v>
      </c>
      <c r="R1732" s="563">
        <f t="shared" ca="1" si="136"/>
        <v>52270.905500000001</v>
      </c>
      <c r="S1732" s="827" t="s">
        <v>4964</v>
      </c>
    </row>
    <row r="1733" spans="2:19" ht="45" customHeight="1" x14ac:dyDescent="0.25">
      <c r="B1733" s="864">
        <v>45636</v>
      </c>
      <c r="C1733" s="828" t="s">
        <v>6270</v>
      </c>
      <c r="D1733" s="823"/>
      <c r="E1733" s="520" t="s">
        <v>6271</v>
      </c>
      <c r="F1733" s="520" t="s">
        <v>6275</v>
      </c>
      <c r="G1733" s="761" t="s">
        <v>6346</v>
      </c>
      <c r="H1733" s="824" t="s">
        <v>6404</v>
      </c>
      <c r="I1733" s="829" t="s">
        <v>6226</v>
      </c>
      <c r="J1733" s="830" t="s">
        <v>6225</v>
      </c>
      <c r="K1733" s="825">
        <v>59174.61</v>
      </c>
      <c r="L1733" s="826">
        <v>60.910600000000002</v>
      </c>
      <c r="M1733" s="825">
        <f t="shared" si="137"/>
        <v>971.49937777661023</v>
      </c>
      <c r="N1733" s="587">
        <v>60</v>
      </c>
      <c r="O1733" s="588">
        <f t="shared" si="138"/>
        <v>986.24350000000004</v>
      </c>
      <c r="P1733" s="735">
        <f t="shared" ca="1" si="135"/>
        <v>7</v>
      </c>
      <c r="Q1733" s="552">
        <f t="shared" ca="1" si="139"/>
        <v>52270.905500000001</v>
      </c>
      <c r="R1733" s="563">
        <f t="shared" ca="1" si="136"/>
        <v>52270.905500000001</v>
      </c>
      <c r="S1733" s="827" t="s">
        <v>4964</v>
      </c>
    </row>
    <row r="1734" spans="2:19" ht="45" customHeight="1" x14ac:dyDescent="0.25">
      <c r="B1734" s="864">
        <v>45636</v>
      </c>
      <c r="C1734" s="828" t="s">
        <v>6270</v>
      </c>
      <c r="D1734" s="823"/>
      <c r="E1734" s="520" t="s">
        <v>6271</v>
      </c>
      <c r="F1734" s="520" t="s">
        <v>6276</v>
      </c>
      <c r="G1734" s="761" t="s">
        <v>6346</v>
      </c>
      <c r="H1734" s="824" t="s">
        <v>6405</v>
      </c>
      <c r="I1734" s="829" t="s">
        <v>6226</v>
      </c>
      <c r="J1734" s="830" t="s">
        <v>6225</v>
      </c>
      <c r="K1734" s="825">
        <v>59174.61</v>
      </c>
      <c r="L1734" s="826">
        <v>60.910600000000002</v>
      </c>
      <c r="M1734" s="825">
        <f t="shared" si="137"/>
        <v>971.49937777661023</v>
      </c>
      <c r="N1734" s="587">
        <v>60</v>
      </c>
      <c r="O1734" s="588">
        <f t="shared" si="138"/>
        <v>986.24350000000004</v>
      </c>
      <c r="P1734" s="735">
        <f t="shared" ca="1" si="135"/>
        <v>7</v>
      </c>
      <c r="Q1734" s="552">
        <f t="shared" ca="1" si="139"/>
        <v>52270.905500000001</v>
      </c>
      <c r="R1734" s="563">
        <f t="shared" ca="1" si="136"/>
        <v>52270.905500000001</v>
      </c>
      <c r="S1734" s="827" t="s">
        <v>4964</v>
      </c>
    </row>
    <row r="1735" spans="2:19" ht="45" customHeight="1" x14ac:dyDescent="0.25">
      <c r="B1735" s="864">
        <v>45636</v>
      </c>
      <c r="C1735" s="828" t="s">
        <v>6270</v>
      </c>
      <c r="D1735" s="823"/>
      <c r="E1735" s="520" t="s">
        <v>6271</v>
      </c>
      <c r="F1735" s="520" t="s">
        <v>6277</v>
      </c>
      <c r="G1735" s="761" t="s">
        <v>6346</v>
      </c>
      <c r="H1735" s="824" t="s">
        <v>6406</v>
      </c>
      <c r="I1735" s="829" t="s">
        <v>6226</v>
      </c>
      <c r="J1735" s="830" t="s">
        <v>6225</v>
      </c>
      <c r="K1735" s="825">
        <v>59174.61</v>
      </c>
      <c r="L1735" s="826">
        <v>60.910600000000002</v>
      </c>
      <c r="M1735" s="825">
        <f t="shared" si="137"/>
        <v>971.49937777661023</v>
      </c>
      <c r="N1735" s="587">
        <v>60</v>
      </c>
      <c r="O1735" s="588">
        <f t="shared" si="138"/>
        <v>986.24350000000004</v>
      </c>
      <c r="P1735" s="735">
        <f t="shared" ca="1" si="135"/>
        <v>7</v>
      </c>
      <c r="Q1735" s="552">
        <f t="shared" ca="1" si="139"/>
        <v>52270.905500000001</v>
      </c>
      <c r="R1735" s="563">
        <f t="shared" ca="1" si="136"/>
        <v>52270.905500000001</v>
      </c>
      <c r="S1735" s="827" t="s">
        <v>4964</v>
      </c>
    </row>
    <row r="1736" spans="2:19" ht="45" customHeight="1" x14ac:dyDescent="0.25">
      <c r="B1736" s="864">
        <v>45636</v>
      </c>
      <c r="C1736" s="828" t="s">
        <v>6270</v>
      </c>
      <c r="D1736" s="823"/>
      <c r="E1736" s="520" t="s">
        <v>6271</v>
      </c>
      <c r="F1736" s="520" t="s">
        <v>6278</v>
      </c>
      <c r="G1736" s="761" t="s">
        <v>6346</v>
      </c>
      <c r="H1736" s="824" t="s">
        <v>6407</v>
      </c>
      <c r="I1736" s="829" t="s">
        <v>6226</v>
      </c>
      <c r="J1736" s="830" t="s">
        <v>6225</v>
      </c>
      <c r="K1736" s="825">
        <v>59174.61</v>
      </c>
      <c r="L1736" s="826">
        <v>60.910600000000002</v>
      </c>
      <c r="M1736" s="825">
        <f t="shared" si="137"/>
        <v>971.49937777661023</v>
      </c>
      <c r="N1736" s="587">
        <v>60</v>
      </c>
      <c r="O1736" s="588">
        <f t="shared" si="138"/>
        <v>986.24350000000004</v>
      </c>
      <c r="P1736" s="735">
        <f t="shared" ref="P1736:P1799" ca="1" si="140">IF(B1736&lt;&gt;0,(ROUND((NOW()-B1736)/30,0)),0)</f>
        <v>7</v>
      </c>
      <c r="Q1736" s="552">
        <f t="shared" ca="1" si="139"/>
        <v>52270.905500000001</v>
      </c>
      <c r="R1736" s="563">
        <f t="shared" ref="R1736:R1799" ca="1" si="141">IF(Q1736&lt;1,1,Q1736)</f>
        <v>52270.905500000001</v>
      </c>
      <c r="S1736" s="827" t="s">
        <v>4964</v>
      </c>
    </row>
    <row r="1737" spans="2:19" ht="45" customHeight="1" x14ac:dyDescent="0.25">
      <c r="B1737" s="864">
        <v>45636</v>
      </c>
      <c r="C1737" s="828" t="s">
        <v>6270</v>
      </c>
      <c r="D1737" s="823"/>
      <c r="E1737" s="520" t="s">
        <v>6271</v>
      </c>
      <c r="F1737" s="520" t="s">
        <v>6279</v>
      </c>
      <c r="G1737" s="761" t="s">
        <v>6346</v>
      </c>
      <c r="H1737" s="824" t="s">
        <v>6408</v>
      </c>
      <c r="I1737" s="829" t="s">
        <v>6226</v>
      </c>
      <c r="J1737" s="830" t="s">
        <v>6225</v>
      </c>
      <c r="K1737" s="825">
        <v>59174.61</v>
      </c>
      <c r="L1737" s="826">
        <v>60.910600000000002</v>
      </c>
      <c r="M1737" s="825">
        <f t="shared" si="137"/>
        <v>971.49937777661023</v>
      </c>
      <c r="N1737" s="587">
        <v>60</v>
      </c>
      <c r="O1737" s="588">
        <f t="shared" si="138"/>
        <v>986.24350000000004</v>
      </c>
      <c r="P1737" s="735">
        <f t="shared" ca="1" si="140"/>
        <v>7</v>
      </c>
      <c r="Q1737" s="552">
        <f t="shared" ca="1" si="139"/>
        <v>52270.905500000001</v>
      </c>
      <c r="R1737" s="563">
        <f t="shared" ca="1" si="141"/>
        <v>52270.905500000001</v>
      </c>
      <c r="S1737" s="827" t="s">
        <v>4964</v>
      </c>
    </row>
    <row r="1738" spans="2:19" ht="45" customHeight="1" x14ac:dyDescent="0.25">
      <c r="B1738" s="864">
        <v>45636</v>
      </c>
      <c r="C1738" s="828" t="s">
        <v>6270</v>
      </c>
      <c r="D1738" s="823"/>
      <c r="E1738" s="520" t="s">
        <v>6271</v>
      </c>
      <c r="F1738" s="520" t="s">
        <v>6280</v>
      </c>
      <c r="G1738" s="761" t="s">
        <v>6346</v>
      </c>
      <c r="H1738" s="824" t="s">
        <v>6409</v>
      </c>
      <c r="I1738" s="829" t="s">
        <v>6226</v>
      </c>
      <c r="J1738" s="830" t="s">
        <v>6225</v>
      </c>
      <c r="K1738" s="825">
        <v>59174.61</v>
      </c>
      <c r="L1738" s="826">
        <v>60.910600000000002</v>
      </c>
      <c r="M1738" s="825">
        <f t="shared" si="137"/>
        <v>971.49937777661023</v>
      </c>
      <c r="N1738" s="587">
        <v>60</v>
      </c>
      <c r="O1738" s="588">
        <f t="shared" si="138"/>
        <v>986.24350000000004</v>
      </c>
      <c r="P1738" s="735">
        <f t="shared" ca="1" si="140"/>
        <v>7</v>
      </c>
      <c r="Q1738" s="552">
        <f t="shared" ca="1" si="139"/>
        <v>52270.905500000001</v>
      </c>
      <c r="R1738" s="563">
        <f t="shared" ca="1" si="141"/>
        <v>52270.905500000001</v>
      </c>
      <c r="S1738" s="827" t="s">
        <v>4964</v>
      </c>
    </row>
    <row r="1739" spans="2:19" ht="45" customHeight="1" x14ac:dyDescent="0.25">
      <c r="B1739" s="864">
        <v>45636</v>
      </c>
      <c r="C1739" s="828" t="s">
        <v>6270</v>
      </c>
      <c r="D1739" s="823"/>
      <c r="E1739" s="520" t="s">
        <v>6271</v>
      </c>
      <c r="F1739" s="520" t="s">
        <v>6281</v>
      </c>
      <c r="G1739" s="761" t="s">
        <v>6346</v>
      </c>
      <c r="H1739" s="824" t="s">
        <v>6410</v>
      </c>
      <c r="I1739" s="829" t="s">
        <v>6226</v>
      </c>
      <c r="J1739" s="830" t="s">
        <v>6225</v>
      </c>
      <c r="K1739" s="825">
        <v>59174.61</v>
      </c>
      <c r="L1739" s="826">
        <v>60.910600000000002</v>
      </c>
      <c r="M1739" s="825">
        <f t="shared" si="137"/>
        <v>971.49937777661023</v>
      </c>
      <c r="N1739" s="587">
        <v>60</v>
      </c>
      <c r="O1739" s="588">
        <f t="shared" si="138"/>
        <v>986.24350000000004</v>
      </c>
      <c r="P1739" s="735">
        <f t="shared" ca="1" si="140"/>
        <v>7</v>
      </c>
      <c r="Q1739" s="552">
        <f t="shared" ca="1" si="139"/>
        <v>52270.905500000001</v>
      </c>
      <c r="R1739" s="563">
        <f t="shared" ca="1" si="141"/>
        <v>52270.905500000001</v>
      </c>
      <c r="S1739" s="827" t="s">
        <v>4964</v>
      </c>
    </row>
    <row r="1740" spans="2:19" ht="45" customHeight="1" x14ac:dyDescent="0.25">
      <c r="B1740" s="864">
        <v>45636</v>
      </c>
      <c r="C1740" s="828" t="s">
        <v>6270</v>
      </c>
      <c r="D1740" s="823"/>
      <c r="E1740" s="520" t="s">
        <v>6271</v>
      </c>
      <c r="F1740" s="520" t="s">
        <v>6282</v>
      </c>
      <c r="G1740" s="761" t="s">
        <v>6346</v>
      </c>
      <c r="H1740" s="824" t="s">
        <v>6411</v>
      </c>
      <c r="I1740" s="829" t="s">
        <v>6226</v>
      </c>
      <c r="J1740" s="830" t="s">
        <v>6225</v>
      </c>
      <c r="K1740" s="825">
        <v>59174.61</v>
      </c>
      <c r="L1740" s="826">
        <v>60.910600000000002</v>
      </c>
      <c r="M1740" s="825">
        <f t="shared" si="137"/>
        <v>971.49937777661023</v>
      </c>
      <c r="N1740" s="587">
        <v>60</v>
      </c>
      <c r="O1740" s="588">
        <f t="shared" si="138"/>
        <v>986.24350000000004</v>
      </c>
      <c r="P1740" s="735">
        <f t="shared" ca="1" si="140"/>
        <v>7</v>
      </c>
      <c r="Q1740" s="552">
        <f t="shared" ca="1" si="139"/>
        <v>52270.905500000001</v>
      </c>
      <c r="R1740" s="563">
        <f t="shared" ca="1" si="141"/>
        <v>52270.905500000001</v>
      </c>
      <c r="S1740" s="827" t="s">
        <v>4964</v>
      </c>
    </row>
    <row r="1741" spans="2:19" ht="45" customHeight="1" x14ac:dyDescent="0.25">
      <c r="B1741" s="864">
        <v>45636</v>
      </c>
      <c r="C1741" s="828" t="s">
        <v>6270</v>
      </c>
      <c r="D1741" s="823"/>
      <c r="E1741" s="520" t="s">
        <v>6271</v>
      </c>
      <c r="F1741" s="520" t="s">
        <v>6283</v>
      </c>
      <c r="G1741" s="761" t="s">
        <v>6346</v>
      </c>
      <c r="H1741" s="824" t="s">
        <v>6412</v>
      </c>
      <c r="I1741" s="829" t="s">
        <v>6226</v>
      </c>
      <c r="J1741" s="830" t="s">
        <v>6225</v>
      </c>
      <c r="K1741" s="825">
        <v>59174.61</v>
      </c>
      <c r="L1741" s="826">
        <v>60.910600000000002</v>
      </c>
      <c r="M1741" s="825">
        <f t="shared" si="137"/>
        <v>971.49937777661023</v>
      </c>
      <c r="N1741" s="587">
        <v>60</v>
      </c>
      <c r="O1741" s="588">
        <f t="shared" si="138"/>
        <v>986.24350000000004</v>
      </c>
      <c r="P1741" s="735">
        <f t="shared" ca="1" si="140"/>
        <v>7</v>
      </c>
      <c r="Q1741" s="552">
        <f t="shared" ca="1" si="139"/>
        <v>52270.905500000001</v>
      </c>
      <c r="R1741" s="563">
        <f t="shared" ca="1" si="141"/>
        <v>52270.905500000001</v>
      </c>
      <c r="S1741" s="827" t="s">
        <v>4964</v>
      </c>
    </row>
    <row r="1742" spans="2:19" ht="45" customHeight="1" x14ac:dyDescent="0.25">
      <c r="B1742" s="864">
        <v>45636</v>
      </c>
      <c r="C1742" s="828" t="s">
        <v>6270</v>
      </c>
      <c r="D1742" s="823"/>
      <c r="E1742" s="520" t="s">
        <v>6271</v>
      </c>
      <c r="F1742" s="520" t="s">
        <v>6284</v>
      </c>
      <c r="G1742" s="761" t="s">
        <v>6346</v>
      </c>
      <c r="H1742" s="824" t="s">
        <v>6413</v>
      </c>
      <c r="I1742" s="829" t="s">
        <v>6226</v>
      </c>
      <c r="J1742" s="830" t="s">
        <v>6225</v>
      </c>
      <c r="K1742" s="825">
        <v>59174.61</v>
      </c>
      <c r="L1742" s="826">
        <v>60.910600000000002</v>
      </c>
      <c r="M1742" s="825">
        <f t="shared" si="137"/>
        <v>971.49937777661023</v>
      </c>
      <c r="N1742" s="587">
        <v>60</v>
      </c>
      <c r="O1742" s="588">
        <f t="shared" si="138"/>
        <v>986.24350000000004</v>
      </c>
      <c r="P1742" s="735">
        <f t="shared" ca="1" si="140"/>
        <v>7</v>
      </c>
      <c r="Q1742" s="552">
        <f t="shared" ca="1" si="139"/>
        <v>52270.905500000001</v>
      </c>
      <c r="R1742" s="563">
        <f t="shared" ca="1" si="141"/>
        <v>52270.905500000001</v>
      </c>
      <c r="S1742" s="827" t="s">
        <v>4964</v>
      </c>
    </row>
    <row r="1743" spans="2:19" ht="45" customHeight="1" x14ac:dyDescent="0.25">
      <c r="B1743" s="864">
        <v>45636</v>
      </c>
      <c r="C1743" s="828" t="s">
        <v>6270</v>
      </c>
      <c r="D1743" s="823"/>
      <c r="E1743" s="520" t="s">
        <v>6271</v>
      </c>
      <c r="F1743" s="520" t="s">
        <v>6285</v>
      </c>
      <c r="G1743" s="761" t="s">
        <v>6346</v>
      </c>
      <c r="H1743" s="824" t="s">
        <v>6414</v>
      </c>
      <c r="I1743" s="829" t="s">
        <v>6226</v>
      </c>
      <c r="J1743" s="830" t="s">
        <v>6225</v>
      </c>
      <c r="K1743" s="825">
        <v>59174.61</v>
      </c>
      <c r="L1743" s="826">
        <v>60.910600000000002</v>
      </c>
      <c r="M1743" s="825">
        <f t="shared" si="137"/>
        <v>971.49937777661023</v>
      </c>
      <c r="N1743" s="587">
        <v>60</v>
      </c>
      <c r="O1743" s="588">
        <f t="shared" si="138"/>
        <v>986.24350000000004</v>
      </c>
      <c r="P1743" s="735">
        <f t="shared" ca="1" si="140"/>
        <v>7</v>
      </c>
      <c r="Q1743" s="552">
        <f t="shared" ca="1" si="139"/>
        <v>52270.905500000001</v>
      </c>
      <c r="R1743" s="563">
        <f t="shared" ca="1" si="141"/>
        <v>52270.905500000001</v>
      </c>
      <c r="S1743" s="827" t="s">
        <v>4964</v>
      </c>
    </row>
    <row r="1744" spans="2:19" ht="45" customHeight="1" x14ac:dyDescent="0.25">
      <c r="B1744" s="864">
        <v>45636</v>
      </c>
      <c r="C1744" s="828" t="s">
        <v>6270</v>
      </c>
      <c r="D1744" s="823"/>
      <c r="E1744" s="520" t="s">
        <v>6271</v>
      </c>
      <c r="F1744" s="520" t="s">
        <v>6286</v>
      </c>
      <c r="G1744" s="761" t="s">
        <v>6346</v>
      </c>
      <c r="H1744" s="824" t="s">
        <v>6415</v>
      </c>
      <c r="I1744" s="829" t="s">
        <v>6226</v>
      </c>
      <c r="J1744" s="830" t="s">
        <v>6225</v>
      </c>
      <c r="K1744" s="825">
        <v>59174.61</v>
      </c>
      <c r="L1744" s="826">
        <v>60.910600000000002</v>
      </c>
      <c r="M1744" s="825">
        <f t="shared" ref="M1744:M1807" si="142">+K1744/L1744</f>
        <v>971.49937777661023</v>
      </c>
      <c r="N1744" s="587">
        <v>60</v>
      </c>
      <c r="O1744" s="588">
        <f t="shared" si="138"/>
        <v>986.24350000000004</v>
      </c>
      <c r="P1744" s="735">
        <f t="shared" ca="1" si="140"/>
        <v>7</v>
      </c>
      <c r="Q1744" s="552">
        <f t="shared" ca="1" si="139"/>
        <v>52270.905500000001</v>
      </c>
      <c r="R1744" s="563">
        <f t="shared" ca="1" si="141"/>
        <v>52270.905500000001</v>
      </c>
      <c r="S1744" s="827" t="s">
        <v>4964</v>
      </c>
    </row>
    <row r="1745" spans="2:19" ht="45" customHeight="1" x14ac:dyDescent="0.25">
      <c r="B1745" s="864">
        <v>45636</v>
      </c>
      <c r="C1745" s="828" t="s">
        <v>6270</v>
      </c>
      <c r="D1745" s="823"/>
      <c r="E1745" s="520" t="s">
        <v>6271</v>
      </c>
      <c r="F1745" s="520" t="s">
        <v>6287</v>
      </c>
      <c r="G1745" s="761" t="s">
        <v>6346</v>
      </c>
      <c r="H1745" s="824" t="s">
        <v>6416</v>
      </c>
      <c r="I1745" s="829" t="s">
        <v>6226</v>
      </c>
      <c r="J1745" s="830" t="s">
        <v>6225</v>
      </c>
      <c r="K1745" s="825">
        <v>59174.61</v>
      </c>
      <c r="L1745" s="826">
        <v>60.910600000000002</v>
      </c>
      <c r="M1745" s="825">
        <f t="shared" si="142"/>
        <v>971.49937777661023</v>
      </c>
      <c r="N1745" s="587">
        <v>60</v>
      </c>
      <c r="O1745" s="588">
        <f t="shared" si="138"/>
        <v>986.24350000000004</v>
      </c>
      <c r="P1745" s="735">
        <f t="shared" ca="1" si="140"/>
        <v>7</v>
      </c>
      <c r="Q1745" s="552">
        <f t="shared" ca="1" si="139"/>
        <v>52270.905500000001</v>
      </c>
      <c r="R1745" s="563">
        <f t="shared" ca="1" si="141"/>
        <v>52270.905500000001</v>
      </c>
      <c r="S1745" s="827" t="s">
        <v>4964</v>
      </c>
    </row>
    <row r="1746" spans="2:19" ht="45" customHeight="1" x14ac:dyDescent="0.25">
      <c r="B1746" s="864">
        <v>45636</v>
      </c>
      <c r="C1746" s="828" t="s">
        <v>6270</v>
      </c>
      <c r="D1746" s="823"/>
      <c r="E1746" s="520" t="s">
        <v>6271</v>
      </c>
      <c r="F1746" s="520" t="s">
        <v>6288</v>
      </c>
      <c r="G1746" s="761" t="s">
        <v>6346</v>
      </c>
      <c r="H1746" s="824" t="s">
        <v>6417</v>
      </c>
      <c r="I1746" s="829" t="s">
        <v>6226</v>
      </c>
      <c r="J1746" s="830" t="s">
        <v>6225</v>
      </c>
      <c r="K1746" s="825">
        <v>59174.61</v>
      </c>
      <c r="L1746" s="826">
        <v>60.910600000000002</v>
      </c>
      <c r="M1746" s="825">
        <f t="shared" si="142"/>
        <v>971.49937777661023</v>
      </c>
      <c r="N1746" s="587">
        <v>60</v>
      </c>
      <c r="O1746" s="588">
        <f t="shared" si="138"/>
        <v>986.24350000000004</v>
      </c>
      <c r="P1746" s="735">
        <f t="shared" ca="1" si="140"/>
        <v>7</v>
      </c>
      <c r="Q1746" s="552">
        <f t="shared" ca="1" si="139"/>
        <v>52270.905500000001</v>
      </c>
      <c r="R1746" s="563">
        <f t="shared" ca="1" si="141"/>
        <v>52270.905500000001</v>
      </c>
      <c r="S1746" s="827" t="s">
        <v>4964</v>
      </c>
    </row>
    <row r="1747" spans="2:19" ht="45" customHeight="1" x14ac:dyDescent="0.25">
      <c r="B1747" s="864">
        <v>45636</v>
      </c>
      <c r="C1747" s="828" t="s">
        <v>6270</v>
      </c>
      <c r="D1747" s="823"/>
      <c r="E1747" s="520" t="s">
        <v>6271</v>
      </c>
      <c r="F1747" s="520" t="s">
        <v>6289</v>
      </c>
      <c r="G1747" s="761" t="s">
        <v>6346</v>
      </c>
      <c r="H1747" s="824" t="s">
        <v>6418</v>
      </c>
      <c r="I1747" s="829" t="s">
        <v>6226</v>
      </c>
      <c r="J1747" s="830" t="s">
        <v>6225</v>
      </c>
      <c r="K1747" s="825">
        <v>59174.61</v>
      </c>
      <c r="L1747" s="826">
        <v>60.910600000000002</v>
      </c>
      <c r="M1747" s="825">
        <f t="shared" si="142"/>
        <v>971.49937777661023</v>
      </c>
      <c r="N1747" s="587">
        <v>60</v>
      </c>
      <c r="O1747" s="588">
        <f t="shared" si="138"/>
        <v>986.24350000000004</v>
      </c>
      <c r="P1747" s="735">
        <f t="shared" ca="1" si="140"/>
        <v>7</v>
      </c>
      <c r="Q1747" s="552">
        <f t="shared" ca="1" si="139"/>
        <v>52270.905500000001</v>
      </c>
      <c r="R1747" s="563">
        <f t="shared" ca="1" si="141"/>
        <v>52270.905500000001</v>
      </c>
      <c r="S1747" s="827" t="s">
        <v>4964</v>
      </c>
    </row>
    <row r="1748" spans="2:19" ht="45" customHeight="1" x14ac:dyDescent="0.25">
      <c r="B1748" s="864">
        <v>45636</v>
      </c>
      <c r="C1748" s="828" t="s">
        <v>6270</v>
      </c>
      <c r="D1748" s="823"/>
      <c r="E1748" s="520" t="s">
        <v>6271</v>
      </c>
      <c r="F1748" s="520" t="s">
        <v>6290</v>
      </c>
      <c r="G1748" s="761" t="s">
        <v>6346</v>
      </c>
      <c r="H1748" s="824" t="s">
        <v>6419</v>
      </c>
      <c r="I1748" s="829" t="s">
        <v>6226</v>
      </c>
      <c r="J1748" s="830" t="s">
        <v>6225</v>
      </c>
      <c r="K1748" s="825">
        <v>59174.61</v>
      </c>
      <c r="L1748" s="826">
        <v>60.910600000000002</v>
      </c>
      <c r="M1748" s="825">
        <f t="shared" si="142"/>
        <v>971.49937777661023</v>
      </c>
      <c r="N1748" s="587">
        <v>60</v>
      </c>
      <c r="O1748" s="588">
        <f t="shared" si="138"/>
        <v>986.24350000000004</v>
      </c>
      <c r="P1748" s="735">
        <f t="shared" ca="1" si="140"/>
        <v>7</v>
      </c>
      <c r="Q1748" s="552">
        <f t="shared" ca="1" si="139"/>
        <v>52270.905500000001</v>
      </c>
      <c r="R1748" s="563">
        <f t="shared" ca="1" si="141"/>
        <v>52270.905500000001</v>
      </c>
      <c r="S1748" s="827" t="s">
        <v>4964</v>
      </c>
    </row>
    <row r="1749" spans="2:19" ht="45" customHeight="1" x14ac:dyDescent="0.25">
      <c r="B1749" s="864">
        <v>45636</v>
      </c>
      <c r="C1749" s="828" t="s">
        <v>6270</v>
      </c>
      <c r="D1749" s="823"/>
      <c r="E1749" s="520" t="s">
        <v>6271</v>
      </c>
      <c r="F1749" s="520" t="s">
        <v>6291</v>
      </c>
      <c r="G1749" s="761" t="s">
        <v>6346</v>
      </c>
      <c r="H1749" s="824" t="s">
        <v>6420</v>
      </c>
      <c r="I1749" s="829" t="s">
        <v>6226</v>
      </c>
      <c r="J1749" s="830" t="s">
        <v>6225</v>
      </c>
      <c r="K1749" s="825">
        <v>59174.61</v>
      </c>
      <c r="L1749" s="826">
        <v>60.910600000000002</v>
      </c>
      <c r="M1749" s="825">
        <f t="shared" si="142"/>
        <v>971.49937777661023</v>
      </c>
      <c r="N1749" s="587">
        <v>60</v>
      </c>
      <c r="O1749" s="588">
        <f t="shared" si="138"/>
        <v>986.24350000000004</v>
      </c>
      <c r="P1749" s="735">
        <f t="shared" ca="1" si="140"/>
        <v>7</v>
      </c>
      <c r="Q1749" s="552">
        <f t="shared" ca="1" si="139"/>
        <v>52270.905500000001</v>
      </c>
      <c r="R1749" s="563">
        <f t="shared" ca="1" si="141"/>
        <v>52270.905500000001</v>
      </c>
      <c r="S1749" s="827" t="s">
        <v>4964</v>
      </c>
    </row>
    <row r="1750" spans="2:19" ht="45" customHeight="1" x14ac:dyDescent="0.25">
      <c r="B1750" s="864">
        <v>45636</v>
      </c>
      <c r="C1750" s="828" t="s">
        <v>6270</v>
      </c>
      <c r="D1750" s="823"/>
      <c r="E1750" s="520" t="s">
        <v>6271</v>
      </c>
      <c r="F1750" s="520" t="s">
        <v>6292</v>
      </c>
      <c r="G1750" s="761" t="s">
        <v>6346</v>
      </c>
      <c r="H1750" s="824" t="s">
        <v>6421</v>
      </c>
      <c r="I1750" s="829" t="s">
        <v>6226</v>
      </c>
      <c r="J1750" s="830" t="s">
        <v>6225</v>
      </c>
      <c r="K1750" s="825">
        <v>59174.61</v>
      </c>
      <c r="L1750" s="826">
        <v>60.910600000000002</v>
      </c>
      <c r="M1750" s="825">
        <f t="shared" si="142"/>
        <v>971.49937777661023</v>
      </c>
      <c r="N1750" s="587">
        <v>60</v>
      </c>
      <c r="O1750" s="588">
        <f t="shared" si="138"/>
        <v>986.24350000000004</v>
      </c>
      <c r="P1750" s="735">
        <f t="shared" ca="1" si="140"/>
        <v>7</v>
      </c>
      <c r="Q1750" s="552">
        <f t="shared" ca="1" si="139"/>
        <v>52270.905500000001</v>
      </c>
      <c r="R1750" s="563">
        <f t="shared" ca="1" si="141"/>
        <v>52270.905500000001</v>
      </c>
      <c r="S1750" s="827" t="s">
        <v>4964</v>
      </c>
    </row>
    <row r="1751" spans="2:19" ht="45" customHeight="1" x14ac:dyDescent="0.25">
      <c r="B1751" s="864">
        <v>45636</v>
      </c>
      <c r="C1751" s="828" t="s">
        <v>6270</v>
      </c>
      <c r="D1751" s="823"/>
      <c r="E1751" s="520" t="s">
        <v>6271</v>
      </c>
      <c r="F1751" s="520" t="s">
        <v>6293</v>
      </c>
      <c r="G1751" s="761" t="s">
        <v>6346</v>
      </c>
      <c r="H1751" s="824" t="s">
        <v>6422</v>
      </c>
      <c r="I1751" s="829" t="s">
        <v>6226</v>
      </c>
      <c r="J1751" s="830" t="s">
        <v>6225</v>
      </c>
      <c r="K1751" s="825">
        <v>59174.61</v>
      </c>
      <c r="L1751" s="826">
        <v>60.910600000000002</v>
      </c>
      <c r="M1751" s="825">
        <f t="shared" si="142"/>
        <v>971.49937777661023</v>
      </c>
      <c r="N1751" s="587">
        <v>60</v>
      </c>
      <c r="O1751" s="588">
        <f t="shared" si="138"/>
        <v>986.24350000000004</v>
      </c>
      <c r="P1751" s="735">
        <f t="shared" ca="1" si="140"/>
        <v>7</v>
      </c>
      <c r="Q1751" s="552">
        <f t="shared" ca="1" si="139"/>
        <v>52270.905500000001</v>
      </c>
      <c r="R1751" s="563">
        <f t="shared" ca="1" si="141"/>
        <v>52270.905500000001</v>
      </c>
      <c r="S1751" s="827" t="s">
        <v>4964</v>
      </c>
    </row>
    <row r="1752" spans="2:19" ht="45" customHeight="1" x14ac:dyDescent="0.25">
      <c r="B1752" s="864">
        <v>45636</v>
      </c>
      <c r="C1752" s="828" t="s">
        <v>6270</v>
      </c>
      <c r="D1752" s="823"/>
      <c r="E1752" s="520" t="s">
        <v>6271</v>
      </c>
      <c r="F1752" s="520" t="s">
        <v>6294</v>
      </c>
      <c r="G1752" s="761" t="s">
        <v>6346</v>
      </c>
      <c r="H1752" s="824" t="s">
        <v>6423</v>
      </c>
      <c r="I1752" s="829" t="s">
        <v>6226</v>
      </c>
      <c r="J1752" s="830" t="s">
        <v>6225</v>
      </c>
      <c r="K1752" s="825">
        <v>59174.61</v>
      </c>
      <c r="L1752" s="826">
        <v>60.910600000000002</v>
      </c>
      <c r="M1752" s="825">
        <f t="shared" si="142"/>
        <v>971.49937777661023</v>
      </c>
      <c r="N1752" s="587">
        <v>60</v>
      </c>
      <c r="O1752" s="588">
        <f t="shared" si="138"/>
        <v>986.24350000000004</v>
      </c>
      <c r="P1752" s="735">
        <f t="shared" ca="1" si="140"/>
        <v>7</v>
      </c>
      <c r="Q1752" s="552">
        <f t="shared" ca="1" si="139"/>
        <v>52270.905500000001</v>
      </c>
      <c r="R1752" s="563">
        <f t="shared" ca="1" si="141"/>
        <v>52270.905500000001</v>
      </c>
      <c r="S1752" s="827" t="s">
        <v>4964</v>
      </c>
    </row>
    <row r="1753" spans="2:19" ht="45" customHeight="1" x14ac:dyDescent="0.25">
      <c r="B1753" s="864">
        <v>45636</v>
      </c>
      <c r="C1753" s="828" t="s">
        <v>6270</v>
      </c>
      <c r="D1753" s="823"/>
      <c r="E1753" s="520" t="s">
        <v>6271</v>
      </c>
      <c r="F1753" s="520" t="s">
        <v>6295</v>
      </c>
      <c r="G1753" s="761" t="s">
        <v>6346</v>
      </c>
      <c r="H1753" s="824" t="s">
        <v>6424</v>
      </c>
      <c r="I1753" s="829" t="s">
        <v>6226</v>
      </c>
      <c r="J1753" s="830" t="s">
        <v>6225</v>
      </c>
      <c r="K1753" s="825">
        <v>59174.61</v>
      </c>
      <c r="L1753" s="826">
        <v>60.910600000000002</v>
      </c>
      <c r="M1753" s="825">
        <f t="shared" si="142"/>
        <v>971.49937777661023</v>
      </c>
      <c r="N1753" s="587">
        <v>60</v>
      </c>
      <c r="O1753" s="588">
        <f t="shared" si="138"/>
        <v>986.24350000000004</v>
      </c>
      <c r="P1753" s="735">
        <f t="shared" ca="1" si="140"/>
        <v>7</v>
      </c>
      <c r="Q1753" s="552">
        <f t="shared" ca="1" si="139"/>
        <v>52270.905500000001</v>
      </c>
      <c r="R1753" s="563">
        <f t="shared" ca="1" si="141"/>
        <v>52270.905500000001</v>
      </c>
      <c r="S1753" s="827" t="s">
        <v>4964</v>
      </c>
    </row>
    <row r="1754" spans="2:19" ht="45" customHeight="1" x14ac:dyDescent="0.25">
      <c r="B1754" s="864">
        <v>45636</v>
      </c>
      <c r="C1754" s="828" t="s">
        <v>6270</v>
      </c>
      <c r="D1754" s="823"/>
      <c r="E1754" s="520" t="s">
        <v>6271</v>
      </c>
      <c r="F1754" s="520" t="s">
        <v>6296</v>
      </c>
      <c r="G1754" s="761" t="s">
        <v>6346</v>
      </c>
      <c r="H1754" s="824" t="s">
        <v>6425</v>
      </c>
      <c r="I1754" s="829" t="s">
        <v>6226</v>
      </c>
      <c r="J1754" s="830" t="s">
        <v>6225</v>
      </c>
      <c r="K1754" s="825">
        <v>59174.61</v>
      </c>
      <c r="L1754" s="826">
        <v>60.910600000000002</v>
      </c>
      <c r="M1754" s="825">
        <f t="shared" si="142"/>
        <v>971.49937777661023</v>
      </c>
      <c r="N1754" s="587">
        <v>60</v>
      </c>
      <c r="O1754" s="588">
        <f t="shared" si="138"/>
        <v>986.24350000000004</v>
      </c>
      <c r="P1754" s="735">
        <f t="shared" ca="1" si="140"/>
        <v>7</v>
      </c>
      <c r="Q1754" s="552">
        <f t="shared" ca="1" si="139"/>
        <v>52270.905500000001</v>
      </c>
      <c r="R1754" s="563">
        <f t="shared" ca="1" si="141"/>
        <v>52270.905500000001</v>
      </c>
      <c r="S1754" s="827" t="s">
        <v>4964</v>
      </c>
    </row>
    <row r="1755" spans="2:19" ht="45" customHeight="1" x14ac:dyDescent="0.25">
      <c r="B1755" s="864">
        <v>45636</v>
      </c>
      <c r="C1755" s="828" t="s">
        <v>6270</v>
      </c>
      <c r="D1755" s="823"/>
      <c r="E1755" s="520" t="s">
        <v>6271</v>
      </c>
      <c r="F1755" s="520" t="s">
        <v>6297</v>
      </c>
      <c r="G1755" s="761" t="s">
        <v>6346</v>
      </c>
      <c r="H1755" s="824" t="s">
        <v>6426</v>
      </c>
      <c r="I1755" s="829" t="s">
        <v>6226</v>
      </c>
      <c r="J1755" s="830" t="s">
        <v>6225</v>
      </c>
      <c r="K1755" s="825">
        <v>59174.61</v>
      </c>
      <c r="L1755" s="826">
        <v>60.910600000000002</v>
      </c>
      <c r="M1755" s="825">
        <f t="shared" si="142"/>
        <v>971.49937777661023</v>
      </c>
      <c r="N1755" s="587">
        <v>60</v>
      </c>
      <c r="O1755" s="588">
        <f t="shared" si="138"/>
        <v>986.24350000000004</v>
      </c>
      <c r="P1755" s="735">
        <f t="shared" ca="1" si="140"/>
        <v>7</v>
      </c>
      <c r="Q1755" s="552">
        <f t="shared" ca="1" si="139"/>
        <v>52270.905500000001</v>
      </c>
      <c r="R1755" s="563">
        <f t="shared" ca="1" si="141"/>
        <v>52270.905500000001</v>
      </c>
      <c r="S1755" s="827" t="s">
        <v>4964</v>
      </c>
    </row>
    <row r="1756" spans="2:19" ht="45" customHeight="1" x14ac:dyDescent="0.25">
      <c r="B1756" s="864">
        <v>45636</v>
      </c>
      <c r="C1756" s="828" t="s">
        <v>6270</v>
      </c>
      <c r="D1756" s="823"/>
      <c r="E1756" s="520" t="s">
        <v>6271</v>
      </c>
      <c r="F1756" s="520" t="s">
        <v>6298</v>
      </c>
      <c r="G1756" s="761" t="s">
        <v>6346</v>
      </c>
      <c r="H1756" s="824" t="s">
        <v>6427</v>
      </c>
      <c r="I1756" s="829" t="s">
        <v>6226</v>
      </c>
      <c r="J1756" s="830" t="s">
        <v>6225</v>
      </c>
      <c r="K1756" s="825">
        <v>59174.61</v>
      </c>
      <c r="L1756" s="826">
        <v>60.910600000000002</v>
      </c>
      <c r="M1756" s="825">
        <f t="shared" si="142"/>
        <v>971.49937777661023</v>
      </c>
      <c r="N1756" s="587">
        <v>60</v>
      </c>
      <c r="O1756" s="588">
        <f t="shared" si="138"/>
        <v>986.24350000000004</v>
      </c>
      <c r="P1756" s="735">
        <f t="shared" ca="1" si="140"/>
        <v>7</v>
      </c>
      <c r="Q1756" s="552">
        <f t="shared" ca="1" si="139"/>
        <v>52270.905500000001</v>
      </c>
      <c r="R1756" s="563">
        <f t="shared" ca="1" si="141"/>
        <v>52270.905500000001</v>
      </c>
      <c r="S1756" s="827" t="s">
        <v>4964</v>
      </c>
    </row>
    <row r="1757" spans="2:19" ht="45" customHeight="1" x14ac:dyDescent="0.25">
      <c r="B1757" s="864">
        <v>45636</v>
      </c>
      <c r="C1757" s="828" t="s">
        <v>6270</v>
      </c>
      <c r="D1757" s="823"/>
      <c r="E1757" s="520" t="s">
        <v>6271</v>
      </c>
      <c r="F1757" s="520" t="s">
        <v>6299</v>
      </c>
      <c r="G1757" s="761" t="s">
        <v>6346</v>
      </c>
      <c r="H1757" s="824" t="s">
        <v>6428</v>
      </c>
      <c r="I1757" s="829" t="s">
        <v>6226</v>
      </c>
      <c r="J1757" s="830" t="s">
        <v>6225</v>
      </c>
      <c r="K1757" s="825">
        <v>59174.61</v>
      </c>
      <c r="L1757" s="826">
        <v>60.910600000000002</v>
      </c>
      <c r="M1757" s="825">
        <f t="shared" si="142"/>
        <v>971.49937777661023</v>
      </c>
      <c r="N1757" s="587">
        <v>60</v>
      </c>
      <c r="O1757" s="588">
        <f t="shared" si="138"/>
        <v>986.24350000000004</v>
      </c>
      <c r="P1757" s="735">
        <f t="shared" ca="1" si="140"/>
        <v>7</v>
      </c>
      <c r="Q1757" s="552">
        <f t="shared" ca="1" si="139"/>
        <v>52270.905500000001</v>
      </c>
      <c r="R1757" s="563">
        <f t="shared" ca="1" si="141"/>
        <v>52270.905500000001</v>
      </c>
      <c r="S1757" s="827" t="s">
        <v>4964</v>
      </c>
    </row>
    <row r="1758" spans="2:19" ht="45" customHeight="1" x14ac:dyDescent="0.25">
      <c r="B1758" s="864">
        <v>45636</v>
      </c>
      <c r="C1758" s="828" t="s">
        <v>6270</v>
      </c>
      <c r="D1758" s="823"/>
      <c r="E1758" s="520" t="s">
        <v>6271</v>
      </c>
      <c r="F1758" s="520" t="s">
        <v>6300</v>
      </c>
      <c r="G1758" s="761" t="s">
        <v>6346</v>
      </c>
      <c r="H1758" s="824" t="s">
        <v>6429</v>
      </c>
      <c r="I1758" s="829" t="s">
        <v>6226</v>
      </c>
      <c r="J1758" s="830" t="s">
        <v>6225</v>
      </c>
      <c r="K1758" s="825">
        <v>59174.61</v>
      </c>
      <c r="L1758" s="826">
        <v>60.910600000000002</v>
      </c>
      <c r="M1758" s="825">
        <f t="shared" si="142"/>
        <v>971.49937777661023</v>
      </c>
      <c r="N1758" s="587">
        <v>60</v>
      </c>
      <c r="O1758" s="588">
        <f t="shared" si="138"/>
        <v>986.24350000000004</v>
      </c>
      <c r="P1758" s="735">
        <f t="shared" ca="1" si="140"/>
        <v>7</v>
      </c>
      <c r="Q1758" s="552">
        <f t="shared" ca="1" si="139"/>
        <v>52270.905500000001</v>
      </c>
      <c r="R1758" s="563">
        <f t="shared" ca="1" si="141"/>
        <v>52270.905500000001</v>
      </c>
      <c r="S1758" s="827" t="s">
        <v>4964</v>
      </c>
    </row>
    <row r="1759" spans="2:19" ht="45" customHeight="1" x14ac:dyDescent="0.25">
      <c r="B1759" s="864">
        <v>45636</v>
      </c>
      <c r="C1759" s="828" t="s">
        <v>6270</v>
      </c>
      <c r="D1759" s="823"/>
      <c r="E1759" s="520" t="s">
        <v>6271</v>
      </c>
      <c r="F1759" s="520" t="s">
        <v>6301</v>
      </c>
      <c r="G1759" s="761" t="s">
        <v>6346</v>
      </c>
      <c r="H1759" s="824" t="s">
        <v>6430</v>
      </c>
      <c r="I1759" s="829" t="s">
        <v>6226</v>
      </c>
      <c r="J1759" s="830" t="s">
        <v>6225</v>
      </c>
      <c r="K1759" s="825">
        <v>59174.61</v>
      </c>
      <c r="L1759" s="826">
        <v>60.910600000000002</v>
      </c>
      <c r="M1759" s="825">
        <f t="shared" si="142"/>
        <v>971.49937777661023</v>
      </c>
      <c r="N1759" s="587">
        <v>60</v>
      </c>
      <c r="O1759" s="588">
        <f t="shared" si="138"/>
        <v>986.24350000000004</v>
      </c>
      <c r="P1759" s="735">
        <f t="shared" ca="1" si="140"/>
        <v>7</v>
      </c>
      <c r="Q1759" s="552">
        <f t="shared" ca="1" si="139"/>
        <v>52270.905500000001</v>
      </c>
      <c r="R1759" s="563">
        <f t="shared" ca="1" si="141"/>
        <v>52270.905500000001</v>
      </c>
      <c r="S1759" s="827" t="s">
        <v>4964</v>
      </c>
    </row>
    <row r="1760" spans="2:19" ht="45" customHeight="1" x14ac:dyDescent="0.25">
      <c r="B1760" s="864">
        <v>45636</v>
      </c>
      <c r="C1760" s="828" t="s">
        <v>6270</v>
      </c>
      <c r="D1760" s="823"/>
      <c r="E1760" s="520" t="s">
        <v>6271</v>
      </c>
      <c r="F1760" s="520" t="s">
        <v>6302</v>
      </c>
      <c r="G1760" s="761" t="s">
        <v>6346</v>
      </c>
      <c r="H1760" s="824" t="s">
        <v>6431</v>
      </c>
      <c r="I1760" s="829" t="s">
        <v>6226</v>
      </c>
      <c r="J1760" s="830" t="s">
        <v>6225</v>
      </c>
      <c r="K1760" s="825">
        <v>59174.61</v>
      </c>
      <c r="L1760" s="826">
        <v>60.910600000000002</v>
      </c>
      <c r="M1760" s="825">
        <f t="shared" si="142"/>
        <v>971.49937777661023</v>
      </c>
      <c r="N1760" s="587">
        <v>60</v>
      </c>
      <c r="O1760" s="588">
        <f t="shared" si="138"/>
        <v>986.24350000000004</v>
      </c>
      <c r="P1760" s="735">
        <f t="shared" ca="1" si="140"/>
        <v>7</v>
      </c>
      <c r="Q1760" s="552">
        <f t="shared" ca="1" si="139"/>
        <v>52270.905500000001</v>
      </c>
      <c r="R1760" s="563">
        <f t="shared" ca="1" si="141"/>
        <v>52270.905500000001</v>
      </c>
      <c r="S1760" s="827" t="s">
        <v>4964</v>
      </c>
    </row>
    <row r="1761" spans="2:19" ht="45" customHeight="1" x14ac:dyDescent="0.25">
      <c r="B1761" s="864">
        <v>45636</v>
      </c>
      <c r="C1761" s="828" t="s">
        <v>6270</v>
      </c>
      <c r="D1761" s="823"/>
      <c r="E1761" s="520" t="s">
        <v>6271</v>
      </c>
      <c r="F1761" s="520" t="s">
        <v>6303</v>
      </c>
      <c r="G1761" s="761" t="s">
        <v>6346</v>
      </c>
      <c r="H1761" s="824" t="s">
        <v>6432</v>
      </c>
      <c r="I1761" s="829" t="s">
        <v>6226</v>
      </c>
      <c r="J1761" s="830" t="s">
        <v>6225</v>
      </c>
      <c r="K1761" s="825">
        <v>59174.61</v>
      </c>
      <c r="L1761" s="826">
        <v>60.910600000000002</v>
      </c>
      <c r="M1761" s="825">
        <f t="shared" si="142"/>
        <v>971.49937777661023</v>
      </c>
      <c r="N1761" s="587">
        <v>60</v>
      </c>
      <c r="O1761" s="588">
        <f t="shared" si="138"/>
        <v>986.24350000000004</v>
      </c>
      <c r="P1761" s="735">
        <f t="shared" ca="1" si="140"/>
        <v>7</v>
      </c>
      <c r="Q1761" s="552">
        <f t="shared" ca="1" si="139"/>
        <v>52270.905500000001</v>
      </c>
      <c r="R1761" s="563">
        <f t="shared" ca="1" si="141"/>
        <v>52270.905500000001</v>
      </c>
      <c r="S1761" s="827" t="s">
        <v>4964</v>
      </c>
    </row>
    <row r="1762" spans="2:19" ht="45" customHeight="1" x14ac:dyDescent="0.25">
      <c r="B1762" s="864">
        <v>45636</v>
      </c>
      <c r="C1762" s="828" t="s">
        <v>6270</v>
      </c>
      <c r="D1762" s="823"/>
      <c r="E1762" s="520" t="s">
        <v>6271</v>
      </c>
      <c r="F1762" s="520" t="s">
        <v>6304</v>
      </c>
      <c r="G1762" s="761" t="s">
        <v>6346</v>
      </c>
      <c r="H1762" s="824" t="s">
        <v>6433</v>
      </c>
      <c r="I1762" s="829" t="s">
        <v>6226</v>
      </c>
      <c r="J1762" s="830" t="s">
        <v>6225</v>
      </c>
      <c r="K1762" s="825">
        <v>59174.61</v>
      </c>
      <c r="L1762" s="826">
        <v>60.910600000000002</v>
      </c>
      <c r="M1762" s="825">
        <f t="shared" si="142"/>
        <v>971.49937777661023</v>
      </c>
      <c r="N1762" s="587">
        <v>60</v>
      </c>
      <c r="O1762" s="588">
        <f t="shared" si="138"/>
        <v>986.24350000000004</v>
      </c>
      <c r="P1762" s="735">
        <f t="shared" ca="1" si="140"/>
        <v>7</v>
      </c>
      <c r="Q1762" s="552">
        <f t="shared" ca="1" si="139"/>
        <v>52270.905500000001</v>
      </c>
      <c r="R1762" s="563">
        <f t="shared" ca="1" si="141"/>
        <v>52270.905500000001</v>
      </c>
      <c r="S1762" s="827" t="s">
        <v>4964</v>
      </c>
    </row>
    <row r="1763" spans="2:19" ht="45" customHeight="1" x14ac:dyDescent="0.25">
      <c r="B1763" s="864">
        <v>45636</v>
      </c>
      <c r="C1763" s="828" t="s">
        <v>6270</v>
      </c>
      <c r="D1763" s="823"/>
      <c r="E1763" s="520" t="s">
        <v>6271</v>
      </c>
      <c r="F1763" s="520" t="s">
        <v>6305</v>
      </c>
      <c r="G1763" s="761" t="s">
        <v>6346</v>
      </c>
      <c r="H1763" s="824" t="s">
        <v>6434</v>
      </c>
      <c r="I1763" s="829" t="s">
        <v>6226</v>
      </c>
      <c r="J1763" s="830" t="s">
        <v>6225</v>
      </c>
      <c r="K1763" s="825">
        <v>59174.61</v>
      </c>
      <c r="L1763" s="826">
        <v>60.910600000000002</v>
      </c>
      <c r="M1763" s="825">
        <f t="shared" si="142"/>
        <v>971.49937777661023</v>
      </c>
      <c r="N1763" s="587">
        <v>60</v>
      </c>
      <c r="O1763" s="588">
        <f t="shared" si="138"/>
        <v>986.24350000000004</v>
      </c>
      <c r="P1763" s="735">
        <f t="shared" ca="1" si="140"/>
        <v>7</v>
      </c>
      <c r="Q1763" s="552">
        <f t="shared" ca="1" si="139"/>
        <v>52270.905500000001</v>
      </c>
      <c r="R1763" s="563">
        <f t="shared" ca="1" si="141"/>
        <v>52270.905500000001</v>
      </c>
      <c r="S1763" s="827" t="s">
        <v>4964</v>
      </c>
    </row>
    <row r="1764" spans="2:19" ht="45" customHeight="1" x14ac:dyDescent="0.25">
      <c r="B1764" s="864">
        <v>45636</v>
      </c>
      <c r="C1764" s="828" t="s">
        <v>6270</v>
      </c>
      <c r="D1764" s="823"/>
      <c r="E1764" s="520" t="s">
        <v>6271</v>
      </c>
      <c r="F1764" s="520" t="s">
        <v>6306</v>
      </c>
      <c r="G1764" s="761" t="s">
        <v>6346</v>
      </c>
      <c r="H1764" s="824" t="s">
        <v>6435</v>
      </c>
      <c r="I1764" s="829" t="s">
        <v>6226</v>
      </c>
      <c r="J1764" s="830" t="s">
        <v>6225</v>
      </c>
      <c r="K1764" s="825">
        <v>59174.61</v>
      </c>
      <c r="L1764" s="826">
        <v>60.910600000000002</v>
      </c>
      <c r="M1764" s="825">
        <f t="shared" si="142"/>
        <v>971.49937777661023</v>
      </c>
      <c r="N1764" s="587">
        <v>60</v>
      </c>
      <c r="O1764" s="588">
        <f t="shared" si="138"/>
        <v>986.24350000000004</v>
      </c>
      <c r="P1764" s="735">
        <f t="shared" ca="1" si="140"/>
        <v>7</v>
      </c>
      <c r="Q1764" s="552">
        <f t="shared" ca="1" si="139"/>
        <v>52270.905500000001</v>
      </c>
      <c r="R1764" s="563">
        <f t="shared" ca="1" si="141"/>
        <v>52270.905500000001</v>
      </c>
      <c r="S1764" s="827" t="s">
        <v>4964</v>
      </c>
    </row>
    <row r="1765" spans="2:19" ht="45" customHeight="1" x14ac:dyDescent="0.25">
      <c r="B1765" s="864">
        <v>45636</v>
      </c>
      <c r="C1765" s="828" t="s">
        <v>6270</v>
      </c>
      <c r="D1765" s="823"/>
      <c r="E1765" s="520" t="s">
        <v>6271</v>
      </c>
      <c r="F1765" s="520" t="s">
        <v>6307</v>
      </c>
      <c r="G1765" s="761" t="s">
        <v>6346</v>
      </c>
      <c r="H1765" s="824" t="s">
        <v>6436</v>
      </c>
      <c r="I1765" s="829" t="s">
        <v>6226</v>
      </c>
      <c r="J1765" s="830" t="s">
        <v>6225</v>
      </c>
      <c r="K1765" s="825">
        <v>59174.61</v>
      </c>
      <c r="L1765" s="826">
        <v>60.910600000000002</v>
      </c>
      <c r="M1765" s="825">
        <f t="shared" si="142"/>
        <v>971.49937777661023</v>
      </c>
      <c r="N1765" s="587">
        <v>60</v>
      </c>
      <c r="O1765" s="588">
        <f t="shared" si="138"/>
        <v>986.24350000000004</v>
      </c>
      <c r="P1765" s="735">
        <f t="shared" ca="1" si="140"/>
        <v>7</v>
      </c>
      <c r="Q1765" s="552">
        <f t="shared" ca="1" si="139"/>
        <v>52270.905500000001</v>
      </c>
      <c r="R1765" s="563">
        <f t="shared" ca="1" si="141"/>
        <v>52270.905500000001</v>
      </c>
      <c r="S1765" s="827" t="s">
        <v>4964</v>
      </c>
    </row>
    <row r="1766" spans="2:19" ht="45" customHeight="1" x14ac:dyDescent="0.25">
      <c r="B1766" s="864">
        <v>45636</v>
      </c>
      <c r="C1766" s="828" t="s">
        <v>6270</v>
      </c>
      <c r="D1766" s="823"/>
      <c r="E1766" s="520" t="s">
        <v>6271</v>
      </c>
      <c r="F1766" s="520" t="s">
        <v>6308</v>
      </c>
      <c r="G1766" s="761" t="s">
        <v>6346</v>
      </c>
      <c r="H1766" s="824" t="s">
        <v>6437</v>
      </c>
      <c r="I1766" s="829" t="s">
        <v>6226</v>
      </c>
      <c r="J1766" s="830" t="s">
        <v>6225</v>
      </c>
      <c r="K1766" s="825">
        <v>59174.61</v>
      </c>
      <c r="L1766" s="826">
        <v>60.910600000000002</v>
      </c>
      <c r="M1766" s="825">
        <f t="shared" si="142"/>
        <v>971.49937777661023</v>
      </c>
      <c r="N1766" s="587">
        <v>60</v>
      </c>
      <c r="O1766" s="588">
        <f t="shared" si="138"/>
        <v>986.24350000000004</v>
      </c>
      <c r="P1766" s="735">
        <f t="shared" ca="1" si="140"/>
        <v>7</v>
      </c>
      <c r="Q1766" s="552">
        <f t="shared" ca="1" si="139"/>
        <v>52270.905500000001</v>
      </c>
      <c r="R1766" s="563">
        <f t="shared" ca="1" si="141"/>
        <v>52270.905500000001</v>
      </c>
      <c r="S1766" s="827" t="s">
        <v>4964</v>
      </c>
    </row>
    <row r="1767" spans="2:19" ht="45" customHeight="1" x14ac:dyDescent="0.25">
      <c r="B1767" s="864">
        <v>45636</v>
      </c>
      <c r="C1767" s="828" t="s">
        <v>6270</v>
      </c>
      <c r="D1767" s="823"/>
      <c r="E1767" s="520" t="s">
        <v>6271</v>
      </c>
      <c r="F1767" s="520" t="s">
        <v>6309</v>
      </c>
      <c r="G1767" s="761" t="s">
        <v>6346</v>
      </c>
      <c r="H1767" s="824" t="s">
        <v>6438</v>
      </c>
      <c r="I1767" s="829" t="s">
        <v>6226</v>
      </c>
      <c r="J1767" s="830" t="s">
        <v>6225</v>
      </c>
      <c r="K1767" s="825">
        <v>59174.61</v>
      </c>
      <c r="L1767" s="826">
        <v>60.910600000000002</v>
      </c>
      <c r="M1767" s="825">
        <f t="shared" si="142"/>
        <v>971.49937777661023</v>
      </c>
      <c r="N1767" s="587">
        <v>60</v>
      </c>
      <c r="O1767" s="588">
        <f t="shared" si="138"/>
        <v>986.24350000000004</v>
      </c>
      <c r="P1767" s="735">
        <f t="shared" ca="1" si="140"/>
        <v>7</v>
      </c>
      <c r="Q1767" s="552">
        <f t="shared" ca="1" si="139"/>
        <v>52270.905500000001</v>
      </c>
      <c r="R1767" s="563">
        <f t="shared" ca="1" si="141"/>
        <v>52270.905500000001</v>
      </c>
      <c r="S1767" s="827" t="s">
        <v>4964</v>
      </c>
    </row>
    <row r="1768" spans="2:19" ht="45" customHeight="1" x14ac:dyDescent="0.25">
      <c r="B1768" s="864">
        <v>45636</v>
      </c>
      <c r="C1768" s="828" t="s">
        <v>6270</v>
      </c>
      <c r="D1768" s="823"/>
      <c r="E1768" s="520" t="s">
        <v>6271</v>
      </c>
      <c r="F1768" s="520" t="s">
        <v>6310</v>
      </c>
      <c r="G1768" s="761" t="s">
        <v>6346</v>
      </c>
      <c r="H1768" s="824" t="s">
        <v>6439</v>
      </c>
      <c r="I1768" s="829" t="s">
        <v>6226</v>
      </c>
      <c r="J1768" s="830" t="s">
        <v>6225</v>
      </c>
      <c r="K1768" s="825">
        <v>59174.61</v>
      </c>
      <c r="L1768" s="826">
        <v>60.910600000000002</v>
      </c>
      <c r="M1768" s="825">
        <f t="shared" si="142"/>
        <v>971.49937777661023</v>
      </c>
      <c r="N1768" s="587">
        <v>60</v>
      </c>
      <c r="O1768" s="588">
        <f t="shared" si="138"/>
        <v>986.24350000000004</v>
      </c>
      <c r="P1768" s="735">
        <f t="shared" ca="1" si="140"/>
        <v>7</v>
      </c>
      <c r="Q1768" s="552">
        <f t="shared" ca="1" si="139"/>
        <v>52270.905500000001</v>
      </c>
      <c r="R1768" s="563">
        <f t="shared" ca="1" si="141"/>
        <v>52270.905500000001</v>
      </c>
      <c r="S1768" s="827" t="s">
        <v>4964</v>
      </c>
    </row>
    <row r="1769" spans="2:19" ht="45" customHeight="1" x14ac:dyDescent="0.25">
      <c r="B1769" s="864">
        <v>45636</v>
      </c>
      <c r="C1769" s="828" t="s">
        <v>6270</v>
      </c>
      <c r="D1769" s="823"/>
      <c r="E1769" s="520" t="s">
        <v>6271</v>
      </c>
      <c r="F1769" s="520" t="s">
        <v>6311</v>
      </c>
      <c r="G1769" s="761" t="s">
        <v>6346</v>
      </c>
      <c r="H1769" s="824" t="s">
        <v>6440</v>
      </c>
      <c r="I1769" s="829" t="s">
        <v>6226</v>
      </c>
      <c r="J1769" s="830" t="s">
        <v>6225</v>
      </c>
      <c r="K1769" s="825">
        <v>59174.61</v>
      </c>
      <c r="L1769" s="826">
        <v>60.910600000000002</v>
      </c>
      <c r="M1769" s="825">
        <f t="shared" si="142"/>
        <v>971.49937777661023</v>
      </c>
      <c r="N1769" s="587">
        <v>60</v>
      </c>
      <c r="O1769" s="588">
        <f t="shared" si="138"/>
        <v>986.24350000000004</v>
      </c>
      <c r="P1769" s="735">
        <f t="shared" ca="1" si="140"/>
        <v>7</v>
      </c>
      <c r="Q1769" s="552">
        <f t="shared" ca="1" si="139"/>
        <v>52270.905500000001</v>
      </c>
      <c r="R1769" s="563">
        <f t="shared" ca="1" si="141"/>
        <v>52270.905500000001</v>
      </c>
      <c r="S1769" s="827" t="s">
        <v>4964</v>
      </c>
    </row>
    <row r="1770" spans="2:19" ht="45" customHeight="1" x14ac:dyDescent="0.25">
      <c r="B1770" s="864">
        <v>45636</v>
      </c>
      <c r="C1770" s="828" t="s">
        <v>6270</v>
      </c>
      <c r="D1770" s="823"/>
      <c r="E1770" s="520" t="s">
        <v>6271</v>
      </c>
      <c r="F1770" s="520" t="s">
        <v>6312</v>
      </c>
      <c r="G1770" s="761" t="s">
        <v>6346</v>
      </c>
      <c r="H1770" s="824" t="s">
        <v>6441</v>
      </c>
      <c r="I1770" s="829" t="s">
        <v>6226</v>
      </c>
      <c r="J1770" s="830" t="s">
        <v>6225</v>
      </c>
      <c r="K1770" s="825">
        <v>59174.61</v>
      </c>
      <c r="L1770" s="826">
        <v>60.910600000000002</v>
      </c>
      <c r="M1770" s="825">
        <f t="shared" si="142"/>
        <v>971.49937777661023</v>
      </c>
      <c r="N1770" s="587">
        <v>60</v>
      </c>
      <c r="O1770" s="588">
        <f t="shared" si="138"/>
        <v>986.24350000000004</v>
      </c>
      <c r="P1770" s="735">
        <f t="shared" ca="1" si="140"/>
        <v>7</v>
      </c>
      <c r="Q1770" s="552">
        <f t="shared" ca="1" si="139"/>
        <v>52270.905500000001</v>
      </c>
      <c r="R1770" s="563">
        <f t="shared" ca="1" si="141"/>
        <v>52270.905500000001</v>
      </c>
      <c r="S1770" s="827" t="s">
        <v>4964</v>
      </c>
    </row>
    <row r="1771" spans="2:19" ht="45" customHeight="1" x14ac:dyDescent="0.25">
      <c r="B1771" s="864">
        <v>45636</v>
      </c>
      <c r="C1771" s="828" t="s">
        <v>6270</v>
      </c>
      <c r="D1771" s="823"/>
      <c r="E1771" s="520" t="s">
        <v>6271</v>
      </c>
      <c r="F1771" s="520" t="s">
        <v>6313</v>
      </c>
      <c r="G1771" s="761" t="s">
        <v>6346</v>
      </c>
      <c r="H1771" s="824" t="s">
        <v>6442</v>
      </c>
      <c r="I1771" s="829" t="s">
        <v>6226</v>
      </c>
      <c r="J1771" s="830" t="s">
        <v>6225</v>
      </c>
      <c r="K1771" s="825">
        <v>59174.61</v>
      </c>
      <c r="L1771" s="826">
        <v>60.910600000000002</v>
      </c>
      <c r="M1771" s="825">
        <f t="shared" si="142"/>
        <v>971.49937777661023</v>
      </c>
      <c r="N1771" s="587">
        <v>60</v>
      </c>
      <c r="O1771" s="588">
        <f t="shared" si="138"/>
        <v>986.24350000000004</v>
      </c>
      <c r="P1771" s="735">
        <f t="shared" ca="1" si="140"/>
        <v>7</v>
      </c>
      <c r="Q1771" s="552">
        <f t="shared" ca="1" si="139"/>
        <v>52270.905500000001</v>
      </c>
      <c r="R1771" s="563">
        <f t="shared" ca="1" si="141"/>
        <v>52270.905500000001</v>
      </c>
      <c r="S1771" s="827" t="s">
        <v>4964</v>
      </c>
    </row>
    <row r="1772" spans="2:19" ht="45" customHeight="1" x14ac:dyDescent="0.25">
      <c r="B1772" s="864">
        <v>45636</v>
      </c>
      <c r="C1772" s="828" t="s">
        <v>6270</v>
      </c>
      <c r="D1772" s="823"/>
      <c r="E1772" s="520" t="s">
        <v>6271</v>
      </c>
      <c r="F1772" s="520" t="s">
        <v>6314</v>
      </c>
      <c r="G1772" s="761" t="s">
        <v>6346</v>
      </c>
      <c r="H1772" s="824" t="s">
        <v>6443</v>
      </c>
      <c r="I1772" s="829" t="s">
        <v>6226</v>
      </c>
      <c r="J1772" s="830" t="s">
        <v>6225</v>
      </c>
      <c r="K1772" s="825">
        <v>59174.61</v>
      </c>
      <c r="L1772" s="826">
        <v>60.910600000000002</v>
      </c>
      <c r="M1772" s="825">
        <f t="shared" si="142"/>
        <v>971.49937777661023</v>
      </c>
      <c r="N1772" s="587">
        <v>60</v>
      </c>
      <c r="O1772" s="588">
        <f t="shared" si="138"/>
        <v>986.24350000000004</v>
      </c>
      <c r="P1772" s="735">
        <f t="shared" ca="1" si="140"/>
        <v>7</v>
      </c>
      <c r="Q1772" s="552">
        <f t="shared" ca="1" si="139"/>
        <v>52270.905500000001</v>
      </c>
      <c r="R1772" s="563">
        <f t="shared" ca="1" si="141"/>
        <v>52270.905500000001</v>
      </c>
      <c r="S1772" s="827" t="s">
        <v>4964</v>
      </c>
    </row>
    <row r="1773" spans="2:19" ht="45" customHeight="1" x14ac:dyDescent="0.25">
      <c r="B1773" s="864">
        <v>45636</v>
      </c>
      <c r="C1773" s="828" t="s">
        <v>6270</v>
      </c>
      <c r="D1773" s="823"/>
      <c r="E1773" s="520" t="s">
        <v>6271</v>
      </c>
      <c r="F1773" s="520" t="s">
        <v>6315</v>
      </c>
      <c r="G1773" s="761" t="s">
        <v>6346</v>
      </c>
      <c r="H1773" s="824" t="s">
        <v>6444</v>
      </c>
      <c r="I1773" s="829" t="s">
        <v>6226</v>
      </c>
      <c r="J1773" s="830" t="s">
        <v>6225</v>
      </c>
      <c r="K1773" s="825">
        <v>59174.61</v>
      </c>
      <c r="L1773" s="826">
        <v>60.910600000000002</v>
      </c>
      <c r="M1773" s="825">
        <f t="shared" si="142"/>
        <v>971.49937777661023</v>
      </c>
      <c r="N1773" s="587">
        <v>60</v>
      </c>
      <c r="O1773" s="588">
        <f t="shared" si="138"/>
        <v>986.24350000000004</v>
      </c>
      <c r="P1773" s="735">
        <f t="shared" ca="1" si="140"/>
        <v>7</v>
      </c>
      <c r="Q1773" s="552">
        <f t="shared" ca="1" si="139"/>
        <v>52270.905500000001</v>
      </c>
      <c r="R1773" s="563">
        <f t="shared" ca="1" si="141"/>
        <v>52270.905500000001</v>
      </c>
      <c r="S1773" s="827" t="s">
        <v>4964</v>
      </c>
    </row>
    <row r="1774" spans="2:19" ht="45" customHeight="1" x14ac:dyDescent="0.25">
      <c r="B1774" s="864">
        <v>45636</v>
      </c>
      <c r="C1774" s="828" t="s">
        <v>6270</v>
      </c>
      <c r="D1774" s="823"/>
      <c r="E1774" s="520" t="s">
        <v>6271</v>
      </c>
      <c r="F1774" s="520" t="s">
        <v>6316</v>
      </c>
      <c r="G1774" s="761" t="s">
        <v>6346</v>
      </c>
      <c r="H1774" s="824" t="s">
        <v>6445</v>
      </c>
      <c r="I1774" s="829" t="s">
        <v>6226</v>
      </c>
      <c r="J1774" s="830" t="s">
        <v>6225</v>
      </c>
      <c r="K1774" s="825">
        <v>59174.61</v>
      </c>
      <c r="L1774" s="826">
        <v>60.910600000000002</v>
      </c>
      <c r="M1774" s="825">
        <f t="shared" si="142"/>
        <v>971.49937777661023</v>
      </c>
      <c r="N1774" s="587">
        <v>60</v>
      </c>
      <c r="O1774" s="588">
        <f t="shared" si="138"/>
        <v>986.24350000000004</v>
      </c>
      <c r="P1774" s="735">
        <f t="shared" ca="1" si="140"/>
        <v>7</v>
      </c>
      <c r="Q1774" s="552">
        <f t="shared" ca="1" si="139"/>
        <v>52270.905500000001</v>
      </c>
      <c r="R1774" s="563">
        <f t="shared" ca="1" si="141"/>
        <v>52270.905500000001</v>
      </c>
      <c r="S1774" s="827" t="s">
        <v>4964</v>
      </c>
    </row>
    <row r="1775" spans="2:19" ht="45" customHeight="1" x14ac:dyDescent="0.25">
      <c r="B1775" s="864">
        <v>45636</v>
      </c>
      <c r="C1775" s="828" t="s">
        <v>6270</v>
      </c>
      <c r="D1775" s="823"/>
      <c r="E1775" s="520" t="s">
        <v>6271</v>
      </c>
      <c r="F1775" s="520" t="s">
        <v>6317</v>
      </c>
      <c r="G1775" s="761" t="s">
        <v>6346</v>
      </c>
      <c r="H1775" s="824" t="s">
        <v>6446</v>
      </c>
      <c r="I1775" s="829" t="s">
        <v>6226</v>
      </c>
      <c r="J1775" s="830" t="s">
        <v>6225</v>
      </c>
      <c r="K1775" s="825">
        <v>59174.61</v>
      </c>
      <c r="L1775" s="826">
        <v>60.910600000000002</v>
      </c>
      <c r="M1775" s="825">
        <f t="shared" si="142"/>
        <v>971.49937777661023</v>
      </c>
      <c r="N1775" s="587">
        <v>60</v>
      </c>
      <c r="O1775" s="588">
        <f t="shared" si="138"/>
        <v>986.24350000000004</v>
      </c>
      <c r="P1775" s="735">
        <f t="shared" ca="1" si="140"/>
        <v>7</v>
      </c>
      <c r="Q1775" s="552">
        <f t="shared" ca="1" si="139"/>
        <v>52270.905500000001</v>
      </c>
      <c r="R1775" s="563">
        <f t="shared" ca="1" si="141"/>
        <v>52270.905500000001</v>
      </c>
      <c r="S1775" s="827" t="s">
        <v>4964</v>
      </c>
    </row>
    <row r="1776" spans="2:19" ht="45" customHeight="1" x14ac:dyDescent="0.25">
      <c r="B1776" s="864">
        <v>45636</v>
      </c>
      <c r="C1776" s="828" t="s">
        <v>6270</v>
      </c>
      <c r="D1776" s="823"/>
      <c r="E1776" s="520" t="s">
        <v>6271</v>
      </c>
      <c r="F1776" s="520" t="s">
        <v>6318</v>
      </c>
      <c r="G1776" s="761" t="s">
        <v>6346</v>
      </c>
      <c r="H1776" s="824" t="s">
        <v>6447</v>
      </c>
      <c r="I1776" s="829" t="s">
        <v>6226</v>
      </c>
      <c r="J1776" s="830" t="s">
        <v>6225</v>
      </c>
      <c r="K1776" s="825">
        <v>59174.61</v>
      </c>
      <c r="L1776" s="826">
        <v>60.910600000000002</v>
      </c>
      <c r="M1776" s="825">
        <f t="shared" si="142"/>
        <v>971.49937777661023</v>
      </c>
      <c r="N1776" s="587">
        <v>60</v>
      </c>
      <c r="O1776" s="588">
        <f t="shared" si="138"/>
        <v>986.24350000000004</v>
      </c>
      <c r="P1776" s="735">
        <f t="shared" ca="1" si="140"/>
        <v>7</v>
      </c>
      <c r="Q1776" s="552">
        <f t="shared" ca="1" si="139"/>
        <v>52270.905500000001</v>
      </c>
      <c r="R1776" s="563">
        <f t="shared" ca="1" si="141"/>
        <v>52270.905500000001</v>
      </c>
      <c r="S1776" s="827" t="s">
        <v>4964</v>
      </c>
    </row>
    <row r="1777" spans="2:19" ht="45" customHeight="1" x14ac:dyDescent="0.25">
      <c r="B1777" s="864">
        <v>45636</v>
      </c>
      <c r="C1777" s="828" t="s">
        <v>6270</v>
      </c>
      <c r="D1777" s="823"/>
      <c r="E1777" s="520" t="s">
        <v>6271</v>
      </c>
      <c r="F1777" s="520" t="s">
        <v>6319</v>
      </c>
      <c r="G1777" s="761" t="s">
        <v>6346</v>
      </c>
      <c r="H1777" s="824" t="s">
        <v>6448</v>
      </c>
      <c r="I1777" s="829" t="s">
        <v>6226</v>
      </c>
      <c r="J1777" s="830" t="s">
        <v>6225</v>
      </c>
      <c r="K1777" s="825">
        <v>59174.61</v>
      </c>
      <c r="L1777" s="826">
        <v>60.910600000000002</v>
      </c>
      <c r="M1777" s="825">
        <f t="shared" si="142"/>
        <v>971.49937777661023</v>
      </c>
      <c r="N1777" s="587">
        <v>60</v>
      </c>
      <c r="O1777" s="588">
        <f t="shared" si="138"/>
        <v>986.24350000000004</v>
      </c>
      <c r="P1777" s="735">
        <f t="shared" ca="1" si="140"/>
        <v>7</v>
      </c>
      <c r="Q1777" s="552">
        <f t="shared" ca="1" si="139"/>
        <v>52270.905500000001</v>
      </c>
      <c r="R1777" s="563">
        <f t="shared" ca="1" si="141"/>
        <v>52270.905500000001</v>
      </c>
      <c r="S1777" s="827" t="s">
        <v>4964</v>
      </c>
    </row>
    <row r="1778" spans="2:19" ht="45" customHeight="1" x14ac:dyDescent="0.25">
      <c r="B1778" s="864">
        <v>45636</v>
      </c>
      <c r="C1778" s="828" t="s">
        <v>6270</v>
      </c>
      <c r="D1778" s="823"/>
      <c r="E1778" s="520" t="s">
        <v>6271</v>
      </c>
      <c r="F1778" s="520" t="s">
        <v>6320</v>
      </c>
      <c r="G1778" s="761" t="s">
        <v>6346</v>
      </c>
      <c r="H1778" s="824" t="s">
        <v>6449</v>
      </c>
      <c r="I1778" s="829" t="s">
        <v>6226</v>
      </c>
      <c r="J1778" s="830" t="s">
        <v>6225</v>
      </c>
      <c r="K1778" s="825">
        <v>59174.61</v>
      </c>
      <c r="L1778" s="826">
        <v>60.910600000000002</v>
      </c>
      <c r="M1778" s="825">
        <f t="shared" si="142"/>
        <v>971.49937777661023</v>
      </c>
      <c r="N1778" s="587">
        <v>60</v>
      </c>
      <c r="O1778" s="588">
        <f t="shared" si="138"/>
        <v>986.24350000000004</v>
      </c>
      <c r="P1778" s="735">
        <f t="shared" ca="1" si="140"/>
        <v>7</v>
      </c>
      <c r="Q1778" s="552">
        <f t="shared" ca="1" si="139"/>
        <v>52270.905500000001</v>
      </c>
      <c r="R1778" s="563">
        <f t="shared" ca="1" si="141"/>
        <v>52270.905500000001</v>
      </c>
      <c r="S1778" s="827" t="s">
        <v>4964</v>
      </c>
    </row>
    <row r="1779" spans="2:19" ht="45" customHeight="1" x14ac:dyDescent="0.25">
      <c r="B1779" s="864">
        <v>45636</v>
      </c>
      <c r="C1779" s="828" t="s">
        <v>6270</v>
      </c>
      <c r="D1779" s="823"/>
      <c r="E1779" s="520" t="s">
        <v>6271</v>
      </c>
      <c r="F1779" s="520" t="s">
        <v>6321</v>
      </c>
      <c r="G1779" s="761" t="s">
        <v>6346</v>
      </c>
      <c r="H1779" s="824" t="s">
        <v>6450</v>
      </c>
      <c r="I1779" s="829" t="s">
        <v>6226</v>
      </c>
      <c r="J1779" s="830" t="s">
        <v>6225</v>
      </c>
      <c r="K1779" s="825">
        <v>59174.61</v>
      </c>
      <c r="L1779" s="826">
        <v>60.910600000000002</v>
      </c>
      <c r="M1779" s="825">
        <f t="shared" si="142"/>
        <v>971.49937777661023</v>
      </c>
      <c r="N1779" s="587">
        <v>60</v>
      </c>
      <c r="O1779" s="588">
        <f t="shared" si="138"/>
        <v>986.24350000000004</v>
      </c>
      <c r="P1779" s="735">
        <f t="shared" ca="1" si="140"/>
        <v>7</v>
      </c>
      <c r="Q1779" s="552">
        <f t="shared" ca="1" si="139"/>
        <v>52270.905500000001</v>
      </c>
      <c r="R1779" s="563">
        <f t="shared" ca="1" si="141"/>
        <v>52270.905500000001</v>
      </c>
      <c r="S1779" s="827" t="s">
        <v>4964</v>
      </c>
    </row>
    <row r="1780" spans="2:19" ht="45" customHeight="1" x14ac:dyDescent="0.25">
      <c r="B1780" s="864">
        <v>45636</v>
      </c>
      <c r="C1780" s="828" t="s">
        <v>6270</v>
      </c>
      <c r="D1780" s="823"/>
      <c r="E1780" s="520" t="s">
        <v>6271</v>
      </c>
      <c r="F1780" s="520" t="s">
        <v>6322</v>
      </c>
      <c r="G1780" s="761" t="s">
        <v>6346</v>
      </c>
      <c r="H1780" s="824" t="s">
        <v>6451</v>
      </c>
      <c r="I1780" s="829" t="s">
        <v>6226</v>
      </c>
      <c r="J1780" s="830" t="s">
        <v>6225</v>
      </c>
      <c r="K1780" s="825">
        <v>59174.61</v>
      </c>
      <c r="L1780" s="826">
        <v>60.910600000000002</v>
      </c>
      <c r="M1780" s="825">
        <f t="shared" si="142"/>
        <v>971.49937777661023</v>
      </c>
      <c r="N1780" s="587">
        <v>60</v>
      </c>
      <c r="O1780" s="588">
        <f t="shared" si="138"/>
        <v>986.24350000000004</v>
      </c>
      <c r="P1780" s="735">
        <f t="shared" ca="1" si="140"/>
        <v>7</v>
      </c>
      <c r="Q1780" s="552">
        <f t="shared" ca="1" si="139"/>
        <v>52270.905500000001</v>
      </c>
      <c r="R1780" s="563">
        <f t="shared" ca="1" si="141"/>
        <v>52270.905500000001</v>
      </c>
      <c r="S1780" s="827" t="s">
        <v>4964</v>
      </c>
    </row>
    <row r="1781" spans="2:19" ht="45" customHeight="1" x14ac:dyDescent="0.25">
      <c r="B1781" s="864">
        <v>45636</v>
      </c>
      <c r="C1781" s="828" t="s">
        <v>6270</v>
      </c>
      <c r="D1781" s="823"/>
      <c r="E1781" s="520" t="s">
        <v>6271</v>
      </c>
      <c r="F1781" s="520" t="s">
        <v>6323</v>
      </c>
      <c r="G1781" s="761" t="s">
        <v>6346</v>
      </c>
      <c r="H1781" s="824" t="s">
        <v>6452</v>
      </c>
      <c r="I1781" s="829" t="s">
        <v>6226</v>
      </c>
      <c r="J1781" s="830" t="s">
        <v>6225</v>
      </c>
      <c r="K1781" s="825">
        <v>59174.61</v>
      </c>
      <c r="L1781" s="826">
        <v>60.910600000000002</v>
      </c>
      <c r="M1781" s="825">
        <f t="shared" si="142"/>
        <v>971.49937777661023</v>
      </c>
      <c r="N1781" s="587">
        <v>60</v>
      </c>
      <c r="O1781" s="588">
        <f t="shared" ref="O1781:O1859" si="143">+K1781/N1781</f>
        <v>986.24350000000004</v>
      </c>
      <c r="P1781" s="735">
        <f t="shared" ca="1" si="140"/>
        <v>7</v>
      </c>
      <c r="Q1781" s="552">
        <f t="shared" ca="1" si="139"/>
        <v>52270.905500000001</v>
      </c>
      <c r="R1781" s="563">
        <f t="shared" ca="1" si="141"/>
        <v>52270.905500000001</v>
      </c>
      <c r="S1781" s="827" t="s">
        <v>4964</v>
      </c>
    </row>
    <row r="1782" spans="2:19" ht="45" customHeight="1" x14ac:dyDescent="0.25">
      <c r="B1782" s="864">
        <v>45636</v>
      </c>
      <c r="C1782" s="828" t="s">
        <v>6270</v>
      </c>
      <c r="D1782" s="823"/>
      <c r="E1782" s="520" t="s">
        <v>6271</v>
      </c>
      <c r="F1782" s="520" t="s">
        <v>6324</v>
      </c>
      <c r="G1782" s="761" t="s">
        <v>6346</v>
      </c>
      <c r="H1782" s="824" t="s">
        <v>6453</v>
      </c>
      <c r="I1782" s="829" t="s">
        <v>6226</v>
      </c>
      <c r="J1782" s="830" t="s">
        <v>6225</v>
      </c>
      <c r="K1782" s="825">
        <v>59174.61</v>
      </c>
      <c r="L1782" s="826">
        <v>60.910600000000002</v>
      </c>
      <c r="M1782" s="825">
        <f t="shared" si="142"/>
        <v>971.49937777661023</v>
      </c>
      <c r="N1782" s="587">
        <v>60</v>
      </c>
      <c r="O1782" s="588">
        <f t="shared" si="143"/>
        <v>986.24350000000004</v>
      </c>
      <c r="P1782" s="735">
        <f t="shared" ca="1" si="140"/>
        <v>7</v>
      </c>
      <c r="Q1782" s="552">
        <f t="shared" ca="1" si="139"/>
        <v>52270.905500000001</v>
      </c>
      <c r="R1782" s="563">
        <f t="shared" ca="1" si="141"/>
        <v>52270.905500000001</v>
      </c>
      <c r="S1782" s="827" t="s">
        <v>4964</v>
      </c>
    </row>
    <row r="1783" spans="2:19" ht="45" customHeight="1" x14ac:dyDescent="0.25">
      <c r="B1783" s="864">
        <v>45636</v>
      </c>
      <c r="C1783" s="828" t="s">
        <v>6270</v>
      </c>
      <c r="D1783" s="823"/>
      <c r="E1783" s="520" t="s">
        <v>6271</v>
      </c>
      <c r="F1783" s="520" t="s">
        <v>6325</v>
      </c>
      <c r="G1783" s="761" t="s">
        <v>6346</v>
      </c>
      <c r="H1783" s="824" t="s">
        <v>6454</v>
      </c>
      <c r="I1783" s="829" t="s">
        <v>6226</v>
      </c>
      <c r="J1783" s="830" t="s">
        <v>6225</v>
      </c>
      <c r="K1783" s="825">
        <v>59174.61</v>
      </c>
      <c r="L1783" s="826">
        <v>60.910600000000002</v>
      </c>
      <c r="M1783" s="825">
        <f t="shared" si="142"/>
        <v>971.49937777661023</v>
      </c>
      <c r="N1783" s="587">
        <v>60</v>
      </c>
      <c r="O1783" s="588">
        <f t="shared" si="143"/>
        <v>986.24350000000004</v>
      </c>
      <c r="P1783" s="735">
        <f t="shared" ca="1" si="140"/>
        <v>7</v>
      </c>
      <c r="Q1783" s="552">
        <f t="shared" ca="1" si="139"/>
        <v>52270.905500000001</v>
      </c>
      <c r="R1783" s="563">
        <f t="shared" ca="1" si="141"/>
        <v>52270.905500000001</v>
      </c>
      <c r="S1783" s="827" t="s">
        <v>4964</v>
      </c>
    </row>
    <row r="1784" spans="2:19" ht="45" customHeight="1" x14ac:dyDescent="0.25">
      <c r="B1784" s="864">
        <v>45636</v>
      </c>
      <c r="C1784" s="828" t="s">
        <v>6270</v>
      </c>
      <c r="D1784" s="823"/>
      <c r="E1784" s="520" t="s">
        <v>6271</v>
      </c>
      <c r="F1784" s="520" t="s">
        <v>6326</v>
      </c>
      <c r="G1784" s="761" t="s">
        <v>6346</v>
      </c>
      <c r="H1784" s="824" t="s">
        <v>6455</v>
      </c>
      <c r="I1784" s="829" t="s">
        <v>6226</v>
      </c>
      <c r="J1784" s="830" t="s">
        <v>6225</v>
      </c>
      <c r="K1784" s="825">
        <v>59174.61</v>
      </c>
      <c r="L1784" s="826">
        <v>60.910600000000002</v>
      </c>
      <c r="M1784" s="825">
        <f t="shared" si="142"/>
        <v>971.49937777661023</v>
      </c>
      <c r="N1784" s="587">
        <v>60</v>
      </c>
      <c r="O1784" s="588">
        <f t="shared" si="143"/>
        <v>986.24350000000004</v>
      </c>
      <c r="P1784" s="735">
        <f t="shared" ca="1" si="140"/>
        <v>7</v>
      </c>
      <c r="Q1784" s="552">
        <f t="shared" ca="1" si="139"/>
        <v>52270.905500000001</v>
      </c>
      <c r="R1784" s="563">
        <f t="shared" ca="1" si="141"/>
        <v>52270.905500000001</v>
      </c>
      <c r="S1784" s="827" t="s">
        <v>4964</v>
      </c>
    </row>
    <row r="1785" spans="2:19" ht="45" customHeight="1" x14ac:dyDescent="0.25">
      <c r="B1785" s="864">
        <v>45636</v>
      </c>
      <c r="C1785" s="828" t="s">
        <v>6270</v>
      </c>
      <c r="D1785" s="823"/>
      <c r="E1785" s="520" t="s">
        <v>6271</v>
      </c>
      <c r="F1785" s="520" t="s">
        <v>6327</v>
      </c>
      <c r="G1785" s="761" t="s">
        <v>6346</v>
      </c>
      <c r="H1785" s="824" t="s">
        <v>6456</v>
      </c>
      <c r="I1785" s="829" t="s">
        <v>6226</v>
      </c>
      <c r="J1785" s="830" t="s">
        <v>6225</v>
      </c>
      <c r="K1785" s="825">
        <v>59174.61</v>
      </c>
      <c r="L1785" s="826">
        <v>60.910600000000002</v>
      </c>
      <c r="M1785" s="825">
        <f t="shared" si="142"/>
        <v>971.49937777661023</v>
      </c>
      <c r="N1785" s="587">
        <v>60</v>
      </c>
      <c r="O1785" s="588">
        <f t="shared" si="143"/>
        <v>986.24350000000004</v>
      </c>
      <c r="P1785" s="735">
        <f t="shared" ca="1" si="140"/>
        <v>7</v>
      </c>
      <c r="Q1785" s="552">
        <f t="shared" ca="1" si="139"/>
        <v>52270.905500000001</v>
      </c>
      <c r="R1785" s="563">
        <f t="shared" ca="1" si="141"/>
        <v>52270.905500000001</v>
      </c>
      <c r="S1785" s="827" t="s">
        <v>4964</v>
      </c>
    </row>
    <row r="1786" spans="2:19" ht="45" customHeight="1" x14ac:dyDescent="0.25">
      <c r="B1786" s="864">
        <v>45636</v>
      </c>
      <c r="C1786" s="828" t="s">
        <v>6270</v>
      </c>
      <c r="D1786" s="823"/>
      <c r="E1786" s="520" t="s">
        <v>6271</v>
      </c>
      <c r="F1786" s="520" t="s">
        <v>6328</v>
      </c>
      <c r="G1786" s="761" t="s">
        <v>6346</v>
      </c>
      <c r="H1786" s="824" t="s">
        <v>6457</v>
      </c>
      <c r="I1786" s="829" t="s">
        <v>6226</v>
      </c>
      <c r="J1786" s="830" t="s">
        <v>6225</v>
      </c>
      <c r="K1786" s="825">
        <v>59174.61</v>
      </c>
      <c r="L1786" s="826">
        <v>60.910600000000002</v>
      </c>
      <c r="M1786" s="825">
        <f t="shared" si="142"/>
        <v>971.49937777661023</v>
      </c>
      <c r="N1786" s="587">
        <v>60</v>
      </c>
      <c r="O1786" s="588">
        <f t="shared" si="143"/>
        <v>986.24350000000004</v>
      </c>
      <c r="P1786" s="735">
        <f t="shared" ca="1" si="140"/>
        <v>7</v>
      </c>
      <c r="Q1786" s="552">
        <f t="shared" ca="1" si="139"/>
        <v>52270.905500000001</v>
      </c>
      <c r="R1786" s="563">
        <f t="shared" ca="1" si="141"/>
        <v>52270.905500000001</v>
      </c>
      <c r="S1786" s="827" t="s">
        <v>4964</v>
      </c>
    </row>
    <row r="1787" spans="2:19" ht="45" customHeight="1" x14ac:dyDescent="0.25">
      <c r="B1787" s="864">
        <v>45636</v>
      </c>
      <c r="C1787" s="828" t="s">
        <v>6270</v>
      </c>
      <c r="D1787" s="823"/>
      <c r="E1787" s="520" t="s">
        <v>6271</v>
      </c>
      <c r="F1787" s="520" t="s">
        <v>6329</v>
      </c>
      <c r="G1787" s="761" t="s">
        <v>6346</v>
      </c>
      <c r="H1787" s="824" t="s">
        <v>6458</v>
      </c>
      <c r="I1787" s="829" t="s">
        <v>6226</v>
      </c>
      <c r="J1787" s="830" t="s">
        <v>6225</v>
      </c>
      <c r="K1787" s="825">
        <v>59174.61</v>
      </c>
      <c r="L1787" s="826">
        <v>60.910600000000002</v>
      </c>
      <c r="M1787" s="825">
        <f t="shared" si="142"/>
        <v>971.49937777661023</v>
      </c>
      <c r="N1787" s="587">
        <v>60</v>
      </c>
      <c r="O1787" s="588">
        <f t="shared" si="143"/>
        <v>986.24350000000004</v>
      </c>
      <c r="P1787" s="735">
        <f t="shared" ca="1" si="140"/>
        <v>7</v>
      </c>
      <c r="Q1787" s="552">
        <f t="shared" ca="1" si="139"/>
        <v>52270.905500000001</v>
      </c>
      <c r="R1787" s="563">
        <f t="shared" ca="1" si="141"/>
        <v>52270.905500000001</v>
      </c>
      <c r="S1787" s="827" t="s">
        <v>4964</v>
      </c>
    </row>
    <row r="1788" spans="2:19" ht="45" customHeight="1" x14ac:dyDescent="0.25">
      <c r="B1788" s="864">
        <v>45636</v>
      </c>
      <c r="C1788" s="828" t="s">
        <v>6270</v>
      </c>
      <c r="D1788" s="823"/>
      <c r="E1788" s="520" t="s">
        <v>6271</v>
      </c>
      <c r="F1788" s="520" t="s">
        <v>6330</v>
      </c>
      <c r="G1788" s="761" t="s">
        <v>6346</v>
      </c>
      <c r="H1788" s="824" t="s">
        <v>6459</v>
      </c>
      <c r="I1788" s="829" t="s">
        <v>6226</v>
      </c>
      <c r="J1788" s="830" t="s">
        <v>6225</v>
      </c>
      <c r="K1788" s="825">
        <v>59174.61</v>
      </c>
      <c r="L1788" s="826">
        <v>60.910600000000002</v>
      </c>
      <c r="M1788" s="825">
        <f t="shared" si="142"/>
        <v>971.49937777661023</v>
      </c>
      <c r="N1788" s="587">
        <v>60</v>
      </c>
      <c r="O1788" s="588">
        <f t="shared" si="143"/>
        <v>986.24350000000004</v>
      </c>
      <c r="P1788" s="735">
        <f t="shared" ca="1" si="140"/>
        <v>7</v>
      </c>
      <c r="Q1788" s="552">
        <f t="shared" ca="1" si="139"/>
        <v>52270.905500000001</v>
      </c>
      <c r="R1788" s="563">
        <f t="shared" ca="1" si="141"/>
        <v>52270.905500000001</v>
      </c>
      <c r="S1788" s="827" t="s">
        <v>4964</v>
      </c>
    </row>
    <row r="1789" spans="2:19" ht="45" customHeight="1" x14ac:dyDescent="0.25">
      <c r="B1789" s="864">
        <v>45636</v>
      </c>
      <c r="C1789" s="828" t="s">
        <v>6270</v>
      </c>
      <c r="D1789" s="823"/>
      <c r="E1789" s="520" t="s">
        <v>6271</v>
      </c>
      <c r="F1789" s="520" t="s">
        <v>6331</v>
      </c>
      <c r="G1789" s="761" t="s">
        <v>6346</v>
      </c>
      <c r="H1789" s="824" t="s">
        <v>6460</v>
      </c>
      <c r="I1789" s="829" t="s">
        <v>6226</v>
      </c>
      <c r="J1789" s="830" t="s">
        <v>6225</v>
      </c>
      <c r="K1789" s="825">
        <v>59174.61</v>
      </c>
      <c r="L1789" s="826">
        <v>60.910600000000002</v>
      </c>
      <c r="M1789" s="825">
        <f t="shared" si="142"/>
        <v>971.49937777661023</v>
      </c>
      <c r="N1789" s="587">
        <v>60</v>
      </c>
      <c r="O1789" s="588">
        <f t="shared" si="143"/>
        <v>986.24350000000004</v>
      </c>
      <c r="P1789" s="735">
        <f t="shared" ca="1" si="140"/>
        <v>7</v>
      </c>
      <c r="Q1789" s="552">
        <f t="shared" ca="1" si="139"/>
        <v>52270.905500000001</v>
      </c>
      <c r="R1789" s="563">
        <f t="shared" ca="1" si="141"/>
        <v>52270.905500000001</v>
      </c>
      <c r="S1789" s="827" t="s">
        <v>4964</v>
      </c>
    </row>
    <row r="1790" spans="2:19" ht="45" customHeight="1" x14ac:dyDescent="0.25">
      <c r="B1790" s="864">
        <v>45636</v>
      </c>
      <c r="C1790" s="828" t="s">
        <v>6270</v>
      </c>
      <c r="D1790" s="823"/>
      <c r="E1790" s="520" t="s">
        <v>6271</v>
      </c>
      <c r="F1790" s="520" t="s">
        <v>6332</v>
      </c>
      <c r="G1790" s="761" t="s">
        <v>6346</v>
      </c>
      <c r="H1790" s="824" t="s">
        <v>6461</v>
      </c>
      <c r="I1790" s="829" t="s">
        <v>6226</v>
      </c>
      <c r="J1790" s="830" t="s">
        <v>6225</v>
      </c>
      <c r="K1790" s="825">
        <v>59174.61</v>
      </c>
      <c r="L1790" s="826">
        <v>60.910600000000002</v>
      </c>
      <c r="M1790" s="825">
        <f t="shared" si="142"/>
        <v>971.49937777661023</v>
      </c>
      <c r="N1790" s="587">
        <v>60</v>
      </c>
      <c r="O1790" s="588">
        <f t="shared" si="143"/>
        <v>986.24350000000004</v>
      </c>
      <c r="P1790" s="735">
        <f t="shared" ca="1" si="140"/>
        <v>7</v>
      </c>
      <c r="Q1790" s="552">
        <f t="shared" ca="1" si="139"/>
        <v>52270.905500000001</v>
      </c>
      <c r="R1790" s="563">
        <f t="shared" ca="1" si="141"/>
        <v>52270.905500000001</v>
      </c>
      <c r="S1790" s="827" t="s">
        <v>4964</v>
      </c>
    </row>
    <row r="1791" spans="2:19" ht="45" customHeight="1" x14ac:dyDescent="0.25">
      <c r="B1791" s="864">
        <v>45636</v>
      </c>
      <c r="C1791" s="828" t="s">
        <v>6270</v>
      </c>
      <c r="D1791" s="823"/>
      <c r="E1791" s="520" t="s">
        <v>6271</v>
      </c>
      <c r="F1791" s="520" t="s">
        <v>6333</v>
      </c>
      <c r="G1791" s="761" t="s">
        <v>6346</v>
      </c>
      <c r="H1791" s="824" t="s">
        <v>6462</v>
      </c>
      <c r="I1791" s="829" t="s">
        <v>6226</v>
      </c>
      <c r="J1791" s="830" t="s">
        <v>6225</v>
      </c>
      <c r="K1791" s="825">
        <v>59174.61</v>
      </c>
      <c r="L1791" s="826">
        <v>60.910600000000002</v>
      </c>
      <c r="M1791" s="825">
        <f t="shared" si="142"/>
        <v>971.49937777661023</v>
      </c>
      <c r="N1791" s="587">
        <v>60</v>
      </c>
      <c r="O1791" s="588">
        <f t="shared" si="143"/>
        <v>986.24350000000004</v>
      </c>
      <c r="P1791" s="735">
        <f t="shared" ca="1" si="140"/>
        <v>7</v>
      </c>
      <c r="Q1791" s="552">
        <f t="shared" ca="1" si="139"/>
        <v>52270.905500000001</v>
      </c>
      <c r="R1791" s="563">
        <f t="shared" ca="1" si="141"/>
        <v>52270.905500000001</v>
      </c>
      <c r="S1791" s="827" t="s">
        <v>4964</v>
      </c>
    </row>
    <row r="1792" spans="2:19" ht="45" customHeight="1" x14ac:dyDescent="0.25">
      <c r="B1792" s="864">
        <v>45636</v>
      </c>
      <c r="C1792" s="828" t="s">
        <v>6270</v>
      </c>
      <c r="D1792" s="823"/>
      <c r="E1792" s="520" t="s">
        <v>6271</v>
      </c>
      <c r="F1792" s="520" t="s">
        <v>6334</v>
      </c>
      <c r="G1792" s="761" t="s">
        <v>6346</v>
      </c>
      <c r="H1792" s="824" t="s">
        <v>6463</v>
      </c>
      <c r="I1792" s="829" t="s">
        <v>6226</v>
      </c>
      <c r="J1792" s="830" t="s">
        <v>6225</v>
      </c>
      <c r="K1792" s="825">
        <v>59174.61</v>
      </c>
      <c r="L1792" s="826">
        <v>60.910600000000002</v>
      </c>
      <c r="M1792" s="825">
        <f t="shared" si="142"/>
        <v>971.49937777661023</v>
      </c>
      <c r="N1792" s="587">
        <v>60</v>
      </c>
      <c r="O1792" s="588">
        <f t="shared" si="143"/>
        <v>986.24350000000004</v>
      </c>
      <c r="P1792" s="735">
        <f t="shared" ca="1" si="140"/>
        <v>7</v>
      </c>
      <c r="Q1792" s="552">
        <f t="shared" ca="1" si="139"/>
        <v>52270.905500000001</v>
      </c>
      <c r="R1792" s="563">
        <f t="shared" ca="1" si="141"/>
        <v>52270.905500000001</v>
      </c>
      <c r="S1792" s="827" t="s">
        <v>4964</v>
      </c>
    </row>
    <row r="1793" spans="2:19" ht="45" customHeight="1" x14ac:dyDescent="0.25">
      <c r="B1793" s="864">
        <v>45636</v>
      </c>
      <c r="C1793" s="828" t="s">
        <v>6270</v>
      </c>
      <c r="D1793" s="832"/>
      <c r="E1793" s="520" t="s">
        <v>6271</v>
      </c>
      <c r="F1793" s="520" t="s">
        <v>6335</v>
      </c>
      <c r="G1793" s="761" t="s">
        <v>6346</v>
      </c>
      <c r="H1793" s="824" t="s">
        <v>6464</v>
      </c>
      <c r="I1793" s="829" t="s">
        <v>6226</v>
      </c>
      <c r="J1793" s="830" t="s">
        <v>6225</v>
      </c>
      <c r="K1793" s="825">
        <v>59174.61</v>
      </c>
      <c r="L1793" s="826">
        <v>60.910600000000002</v>
      </c>
      <c r="M1793" s="825">
        <f t="shared" si="142"/>
        <v>971.49937777661023</v>
      </c>
      <c r="N1793" s="587">
        <v>60</v>
      </c>
      <c r="O1793" s="588">
        <f t="shared" si="143"/>
        <v>986.24350000000004</v>
      </c>
      <c r="P1793" s="735">
        <f t="shared" ca="1" si="140"/>
        <v>7</v>
      </c>
      <c r="Q1793" s="552">
        <f t="shared" ca="1" si="139"/>
        <v>52270.905500000001</v>
      </c>
      <c r="R1793" s="563">
        <f t="shared" ca="1" si="141"/>
        <v>52270.905500000001</v>
      </c>
      <c r="S1793" s="827" t="s">
        <v>4964</v>
      </c>
    </row>
    <row r="1794" spans="2:19" ht="45" customHeight="1" x14ac:dyDescent="0.25">
      <c r="B1794" s="864">
        <v>45636</v>
      </c>
      <c r="C1794" s="828" t="s">
        <v>6270</v>
      </c>
      <c r="D1794" s="822"/>
      <c r="E1794" s="520" t="s">
        <v>6271</v>
      </c>
      <c r="F1794" s="520" t="s">
        <v>6336</v>
      </c>
      <c r="G1794" s="761" t="s">
        <v>6346</v>
      </c>
      <c r="H1794" s="824" t="s">
        <v>6465</v>
      </c>
      <c r="I1794" s="829" t="s">
        <v>6226</v>
      </c>
      <c r="J1794" s="830" t="s">
        <v>6225</v>
      </c>
      <c r="K1794" s="825">
        <v>59174.61</v>
      </c>
      <c r="L1794" s="826">
        <v>60.910600000000002</v>
      </c>
      <c r="M1794" s="825">
        <f t="shared" si="142"/>
        <v>971.49937777661023</v>
      </c>
      <c r="N1794" s="587">
        <v>60</v>
      </c>
      <c r="O1794" s="588">
        <f t="shared" si="143"/>
        <v>986.24350000000004</v>
      </c>
      <c r="P1794" s="735">
        <f t="shared" ca="1" si="140"/>
        <v>7</v>
      </c>
      <c r="Q1794" s="552">
        <f t="shared" ref="Q1794:Q1872" ca="1" si="144">IF(OR(K1794=0,N1794=0,P1794=0),0,K1794-(O1794*P1794))</f>
        <v>52270.905500000001</v>
      </c>
      <c r="R1794" s="563">
        <f t="shared" ca="1" si="141"/>
        <v>52270.905500000001</v>
      </c>
      <c r="S1794" s="827" t="s">
        <v>4964</v>
      </c>
    </row>
    <row r="1795" spans="2:19" ht="45" customHeight="1" x14ac:dyDescent="0.25">
      <c r="B1795" s="864">
        <v>45636</v>
      </c>
      <c r="C1795" s="828" t="s">
        <v>6270</v>
      </c>
      <c r="D1795" s="823"/>
      <c r="E1795" s="520" t="s">
        <v>6271</v>
      </c>
      <c r="F1795" s="520" t="s">
        <v>6337</v>
      </c>
      <c r="G1795" s="761" t="s">
        <v>6346</v>
      </c>
      <c r="H1795" s="824" t="s">
        <v>6466</v>
      </c>
      <c r="I1795" s="829" t="s">
        <v>6226</v>
      </c>
      <c r="J1795" s="830" t="s">
        <v>6225</v>
      </c>
      <c r="K1795" s="825">
        <v>59174.61</v>
      </c>
      <c r="L1795" s="826">
        <v>60.910600000000002</v>
      </c>
      <c r="M1795" s="825">
        <f t="shared" si="142"/>
        <v>971.49937777661023</v>
      </c>
      <c r="N1795" s="587">
        <v>60</v>
      </c>
      <c r="O1795" s="588">
        <f t="shared" si="143"/>
        <v>986.24350000000004</v>
      </c>
      <c r="P1795" s="735">
        <f t="shared" ca="1" si="140"/>
        <v>7</v>
      </c>
      <c r="Q1795" s="552">
        <f t="shared" ca="1" si="144"/>
        <v>52270.905500000001</v>
      </c>
      <c r="R1795" s="563">
        <f t="shared" ca="1" si="141"/>
        <v>52270.905500000001</v>
      </c>
      <c r="S1795" s="827" t="s">
        <v>4964</v>
      </c>
    </row>
    <row r="1796" spans="2:19" ht="45" customHeight="1" x14ac:dyDescent="0.25">
      <c r="B1796" s="864">
        <v>45636</v>
      </c>
      <c r="C1796" s="828" t="s">
        <v>6270</v>
      </c>
      <c r="D1796" s="823"/>
      <c r="E1796" s="520" t="s">
        <v>6271</v>
      </c>
      <c r="F1796" s="520" t="s">
        <v>6338</v>
      </c>
      <c r="G1796" s="761" t="s">
        <v>6346</v>
      </c>
      <c r="H1796" s="824" t="s">
        <v>6467</v>
      </c>
      <c r="I1796" s="829" t="s">
        <v>6226</v>
      </c>
      <c r="J1796" s="830" t="s">
        <v>6225</v>
      </c>
      <c r="K1796" s="825">
        <v>59174.61</v>
      </c>
      <c r="L1796" s="826">
        <v>60.910600000000002</v>
      </c>
      <c r="M1796" s="825">
        <f t="shared" si="142"/>
        <v>971.49937777661023</v>
      </c>
      <c r="N1796" s="587">
        <v>60</v>
      </c>
      <c r="O1796" s="588">
        <f t="shared" si="143"/>
        <v>986.24350000000004</v>
      </c>
      <c r="P1796" s="735">
        <f t="shared" ca="1" si="140"/>
        <v>7</v>
      </c>
      <c r="Q1796" s="552">
        <f t="shared" ca="1" si="144"/>
        <v>52270.905500000001</v>
      </c>
      <c r="R1796" s="563">
        <f t="shared" ca="1" si="141"/>
        <v>52270.905500000001</v>
      </c>
      <c r="S1796" s="827" t="s">
        <v>4964</v>
      </c>
    </row>
    <row r="1797" spans="2:19" ht="45" customHeight="1" x14ac:dyDescent="0.25">
      <c r="B1797" s="864">
        <v>45636</v>
      </c>
      <c r="C1797" s="828" t="s">
        <v>6270</v>
      </c>
      <c r="D1797" s="823"/>
      <c r="E1797" s="520" t="s">
        <v>6271</v>
      </c>
      <c r="F1797" s="520" t="s">
        <v>6339</v>
      </c>
      <c r="G1797" s="761" t="s">
        <v>6346</v>
      </c>
      <c r="H1797" s="824" t="s">
        <v>6468</v>
      </c>
      <c r="I1797" s="829" t="s">
        <v>6226</v>
      </c>
      <c r="J1797" s="830" t="s">
        <v>6225</v>
      </c>
      <c r="K1797" s="825">
        <v>59174.61</v>
      </c>
      <c r="L1797" s="826">
        <v>60.910600000000002</v>
      </c>
      <c r="M1797" s="825">
        <f t="shared" si="142"/>
        <v>971.49937777661023</v>
      </c>
      <c r="N1797" s="587">
        <v>60</v>
      </c>
      <c r="O1797" s="588">
        <f t="shared" si="143"/>
        <v>986.24350000000004</v>
      </c>
      <c r="P1797" s="735">
        <f t="shared" ca="1" si="140"/>
        <v>7</v>
      </c>
      <c r="Q1797" s="552">
        <f t="shared" ca="1" si="144"/>
        <v>52270.905500000001</v>
      </c>
      <c r="R1797" s="563">
        <f t="shared" ca="1" si="141"/>
        <v>52270.905500000001</v>
      </c>
      <c r="S1797" s="827" t="s">
        <v>4964</v>
      </c>
    </row>
    <row r="1798" spans="2:19" ht="45" customHeight="1" x14ac:dyDescent="0.25">
      <c r="B1798" s="864">
        <v>45636</v>
      </c>
      <c r="C1798" s="828" t="s">
        <v>6270</v>
      </c>
      <c r="D1798" s="823"/>
      <c r="E1798" s="520" t="s">
        <v>6271</v>
      </c>
      <c r="F1798" s="520" t="s">
        <v>6340</v>
      </c>
      <c r="G1798" s="761" t="s">
        <v>6346</v>
      </c>
      <c r="H1798" s="824" t="s">
        <v>6469</v>
      </c>
      <c r="I1798" s="829" t="s">
        <v>6226</v>
      </c>
      <c r="J1798" s="830" t="s">
        <v>6225</v>
      </c>
      <c r="K1798" s="825">
        <v>59174.61</v>
      </c>
      <c r="L1798" s="826">
        <v>60.910600000000002</v>
      </c>
      <c r="M1798" s="825">
        <f t="shared" si="142"/>
        <v>971.49937777661023</v>
      </c>
      <c r="N1798" s="587">
        <v>60</v>
      </c>
      <c r="O1798" s="588">
        <f t="shared" si="143"/>
        <v>986.24350000000004</v>
      </c>
      <c r="P1798" s="735">
        <f t="shared" ca="1" si="140"/>
        <v>7</v>
      </c>
      <c r="Q1798" s="552">
        <f t="shared" ca="1" si="144"/>
        <v>52270.905500000001</v>
      </c>
      <c r="R1798" s="563">
        <f t="shared" ca="1" si="141"/>
        <v>52270.905500000001</v>
      </c>
      <c r="S1798" s="827" t="s">
        <v>4964</v>
      </c>
    </row>
    <row r="1799" spans="2:19" ht="45" customHeight="1" x14ac:dyDescent="0.25">
      <c r="B1799" s="864">
        <v>45636</v>
      </c>
      <c r="C1799" s="828" t="s">
        <v>6270</v>
      </c>
      <c r="D1799" s="823"/>
      <c r="E1799" s="520" t="s">
        <v>6271</v>
      </c>
      <c r="F1799" s="520" t="s">
        <v>6341</v>
      </c>
      <c r="G1799" s="761" t="s">
        <v>6346</v>
      </c>
      <c r="H1799" s="824" t="s">
        <v>6470</v>
      </c>
      <c r="I1799" s="829" t="s">
        <v>6226</v>
      </c>
      <c r="J1799" s="830" t="s">
        <v>6225</v>
      </c>
      <c r="K1799" s="825">
        <v>59174.61</v>
      </c>
      <c r="L1799" s="826">
        <v>60.910600000000002</v>
      </c>
      <c r="M1799" s="825">
        <f t="shared" si="142"/>
        <v>971.49937777661023</v>
      </c>
      <c r="N1799" s="587">
        <v>60</v>
      </c>
      <c r="O1799" s="588">
        <f t="shared" si="143"/>
        <v>986.24350000000004</v>
      </c>
      <c r="P1799" s="735">
        <f t="shared" ca="1" si="140"/>
        <v>7</v>
      </c>
      <c r="Q1799" s="552">
        <f t="shared" ca="1" si="144"/>
        <v>52270.905500000001</v>
      </c>
      <c r="R1799" s="563">
        <f t="shared" ca="1" si="141"/>
        <v>52270.905500000001</v>
      </c>
      <c r="S1799" s="827" t="s">
        <v>4964</v>
      </c>
    </row>
    <row r="1800" spans="2:19" ht="45" customHeight="1" x14ac:dyDescent="0.25">
      <c r="B1800" s="864">
        <v>45636</v>
      </c>
      <c r="C1800" s="828" t="s">
        <v>6270</v>
      </c>
      <c r="D1800" s="823"/>
      <c r="E1800" s="520" t="s">
        <v>6271</v>
      </c>
      <c r="F1800" s="520" t="s">
        <v>6342</v>
      </c>
      <c r="G1800" s="761" t="s">
        <v>6346</v>
      </c>
      <c r="H1800" s="824" t="s">
        <v>6471</v>
      </c>
      <c r="I1800" s="829" t="s">
        <v>6226</v>
      </c>
      <c r="J1800" s="830" t="s">
        <v>6225</v>
      </c>
      <c r="K1800" s="825">
        <v>59174.61</v>
      </c>
      <c r="L1800" s="826">
        <v>60.910600000000002</v>
      </c>
      <c r="M1800" s="825">
        <f t="shared" si="142"/>
        <v>971.49937777661023</v>
      </c>
      <c r="N1800" s="587">
        <v>60</v>
      </c>
      <c r="O1800" s="588">
        <f t="shared" si="143"/>
        <v>986.24350000000004</v>
      </c>
      <c r="P1800" s="735">
        <f t="shared" ref="P1800:P1878" ca="1" si="145">IF(B1800&lt;&gt;0,(ROUND((NOW()-B1800)/30,0)),0)</f>
        <v>7</v>
      </c>
      <c r="Q1800" s="552">
        <f t="shared" ca="1" si="144"/>
        <v>52270.905500000001</v>
      </c>
      <c r="R1800" s="563">
        <f t="shared" ref="R1800:R1878" ca="1" si="146">IF(Q1800&lt;1,1,Q1800)</f>
        <v>52270.905500000001</v>
      </c>
      <c r="S1800" s="827" t="s">
        <v>4964</v>
      </c>
    </row>
    <row r="1801" spans="2:19" ht="45" customHeight="1" x14ac:dyDescent="0.25">
      <c r="B1801" s="864">
        <v>45636</v>
      </c>
      <c r="C1801" s="828" t="s">
        <v>6270</v>
      </c>
      <c r="D1801" s="823"/>
      <c r="E1801" s="520" t="s">
        <v>6271</v>
      </c>
      <c r="F1801" s="520" t="s">
        <v>6343</v>
      </c>
      <c r="G1801" s="761" t="s">
        <v>6346</v>
      </c>
      <c r="H1801" s="824" t="s">
        <v>6472</v>
      </c>
      <c r="I1801" s="829" t="s">
        <v>6226</v>
      </c>
      <c r="J1801" s="830" t="s">
        <v>6225</v>
      </c>
      <c r="K1801" s="825">
        <v>59174.61</v>
      </c>
      <c r="L1801" s="826">
        <v>60.910600000000002</v>
      </c>
      <c r="M1801" s="825">
        <f t="shared" si="142"/>
        <v>971.49937777661023</v>
      </c>
      <c r="N1801" s="587">
        <v>60</v>
      </c>
      <c r="O1801" s="588">
        <f t="shared" si="143"/>
        <v>986.24350000000004</v>
      </c>
      <c r="P1801" s="735">
        <f t="shared" ca="1" si="145"/>
        <v>7</v>
      </c>
      <c r="Q1801" s="552">
        <f t="shared" ca="1" si="144"/>
        <v>52270.905500000001</v>
      </c>
      <c r="R1801" s="563">
        <f t="shared" ca="1" si="146"/>
        <v>52270.905500000001</v>
      </c>
      <c r="S1801" s="827" t="s">
        <v>4964</v>
      </c>
    </row>
    <row r="1802" spans="2:19" ht="45" customHeight="1" x14ac:dyDescent="0.25">
      <c r="B1802" s="864">
        <v>45636</v>
      </c>
      <c r="C1802" s="828" t="s">
        <v>6270</v>
      </c>
      <c r="D1802" s="823"/>
      <c r="E1802" s="520" t="s">
        <v>6271</v>
      </c>
      <c r="F1802" s="520" t="s">
        <v>6344</v>
      </c>
      <c r="G1802" s="761" t="s">
        <v>6346</v>
      </c>
      <c r="H1802" s="824" t="s">
        <v>6473</v>
      </c>
      <c r="I1802" s="829" t="s">
        <v>6226</v>
      </c>
      <c r="J1802" s="830" t="s">
        <v>6225</v>
      </c>
      <c r="K1802" s="825">
        <v>59174.61</v>
      </c>
      <c r="L1802" s="826">
        <v>60.910600000000002</v>
      </c>
      <c r="M1802" s="825">
        <f t="shared" si="142"/>
        <v>971.49937777661023</v>
      </c>
      <c r="N1802" s="587">
        <v>60</v>
      </c>
      <c r="O1802" s="588">
        <f t="shared" si="143"/>
        <v>986.24350000000004</v>
      </c>
      <c r="P1802" s="735">
        <f t="shared" ca="1" si="145"/>
        <v>7</v>
      </c>
      <c r="Q1802" s="552">
        <f t="shared" ca="1" si="144"/>
        <v>52270.905500000001</v>
      </c>
      <c r="R1802" s="563">
        <f t="shared" ca="1" si="146"/>
        <v>52270.905500000001</v>
      </c>
      <c r="S1802" s="827" t="s">
        <v>4964</v>
      </c>
    </row>
    <row r="1803" spans="2:19" ht="45" customHeight="1" x14ac:dyDescent="0.25">
      <c r="B1803" s="864">
        <v>45636</v>
      </c>
      <c r="C1803" s="828" t="s">
        <v>6270</v>
      </c>
      <c r="D1803" s="823"/>
      <c r="E1803" s="520" t="s">
        <v>6271</v>
      </c>
      <c r="F1803" s="520" t="s">
        <v>6345</v>
      </c>
      <c r="G1803" s="761" t="s">
        <v>6346</v>
      </c>
      <c r="H1803" s="824" t="s">
        <v>6474</v>
      </c>
      <c r="I1803" s="829" t="s">
        <v>6226</v>
      </c>
      <c r="J1803" s="830" t="s">
        <v>6225</v>
      </c>
      <c r="K1803" s="825">
        <v>59174.61</v>
      </c>
      <c r="L1803" s="826">
        <v>60.910600000000002</v>
      </c>
      <c r="M1803" s="825">
        <f t="shared" si="142"/>
        <v>971.49937777661023</v>
      </c>
      <c r="N1803" s="587">
        <v>60</v>
      </c>
      <c r="O1803" s="588">
        <f t="shared" si="143"/>
        <v>986.24350000000004</v>
      </c>
      <c r="P1803" s="735">
        <f t="shared" ca="1" si="145"/>
        <v>7</v>
      </c>
      <c r="Q1803" s="552">
        <f t="shared" ca="1" si="144"/>
        <v>52270.905500000001</v>
      </c>
      <c r="R1803" s="563">
        <f t="shared" ca="1" si="146"/>
        <v>52270.905500000001</v>
      </c>
      <c r="S1803" s="827" t="s">
        <v>4964</v>
      </c>
    </row>
    <row r="1804" spans="2:19" ht="45" customHeight="1" x14ac:dyDescent="0.25">
      <c r="B1804" s="864">
        <v>45636</v>
      </c>
      <c r="C1804" s="828" t="s">
        <v>6270</v>
      </c>
      <c r="D1804" s="823"/>
      <c r="E1804" s="520" t="s">
        <v>6271</v>
      </c>
      <c r="F1804" s="520" t="s">
        <v>6347</v>
      </c>
      <c r="G1804" s="761" t="s">
        <v>6346</v>
      </c>
      <c r="H1804" s="824" t="s">
        <v>6475</v>
      </c>
      <c r="I1804" s="829" t="s">
        <v>6226</v>
      </c>
      <c r="J1804" s="830" t="s">
        <v>6225</v>
      </c>
      <c r="K1804" s="825">
        <v>59174.61</v>
      </c>
      <c r="L1804" s="826">
        <v>60.910600000000002</v>
      </c>
      <c r="M1804" s="825">
        <f t="shared" si="142"/>
        <v>971.49937777661023</v>
      </c>
      <c r="N1804" s="587">
        <v>60</v>
      </c>
      <c r="O1804" s="588">
        <f t="shared" si="143"/>
        <v>986.24350000000004</v>
      </c>
      <c r="P1804" s="735">
        <f t="shared" ca="1" si="145"/>
        <v>7</v>
      </c>
      <c r="Q1804" s="552">
        <f t="shared" ca="1" si="144"/>
        <v>52270.905500000001</v>
      </c>
      <c r="R1804" s="563">
        <f t="shared" ca="1" si="146"/>
        <v>52270.905500000001</v>
      </c>
      <c r="S1804" s="827" t="s">
        <v>4964</v>
      </c>
    </row>
    <row r="1805" spans="2:19" ht="45" customHeight="1" x14ac:dyDescent="0.25">
      <c r="B1805" s="864">
        <v>45636</v>
      </c>
      <c r="C1805" s="828" t="s">
        <v>6270</v>
      </c>
      <c r="D1805" s="823"/>
      <c r="E1805" s="520" t="s">
        <v>6271</v>
      </c>
      <c r="F1805" s="520" t="s">
        <v>6348</v>
      </c>
      <c r="G1805" s="761" t="s">
        <v>6346</v>
      </c>
      <c r="H1805" s="824" t="s">
        <v>6476</v>
      </c>
      <c r="I1805" s="829" t="s">
        <v>6226</v>
      </c>
      <c r="J1805" s="830" t="s">
        <v>6225</v>
      </c>
      <c r="K1805" s="825">
        <v>59174.61</v>
      </c>
      <c r="L1805" s="826">
        <v>60.910600000000002</v>
      </c>
      <c r="M1805" s="825">
        <f t="shared" si="142"/>
        <v>971.49937777661023</v>
      </c>
      <c r="N1805" s="587">
        <v>60</v>
      </c>
      <c r="O1805" s="588">
        <f t="shared" si="143"/>
        <v>986.24350000000004</v>
      </c>
      <c r="P1805" s="735">
        <f t="shared" ca="1" si="145"/>
        <v>7</v>
      </c>
      <c r="Q1805" s="552">
        <f t="shared" ca="1" si="144"/>
        <v>52270.905500000001</v>
      </c>
      <c r="R1805" s="563">
        <f t="shared" ca="1" si="146"/>
        <v>52270.905500000001</v>
      </c>
      <c r="S1805" s="827" t="s">
        <v>4964</v>
      </c>
    </row>
    <row r="1806" spans="2:19" ht="45" customHeight="1" x14ac:dyDescent="0.25">
      <c r="B1806" s="864">
        <v>45636</v>
      </c>
      <c r="C1806" s="828" t="s">
        <v>6270</v>
      </c>
      <c r="D1806" s="823"/>
      <c r="E1806" s="520" t="s">
        <v>6271</v>
      </c>
      <c r="F1806" s="520" t="s">
        <v>6349</v>
      </c>
      <c r="G1806" s="761" t="s">
        <v>6346</v>
      </c>
      <c r="H1806" s="824" t="s">
        <v>6477</v>
      </c>
      <c r="I1806" s="829" t="s">
        <v>6226</v>
      </c>
      <c r="J1806" s="830" t="s">
        <v>6225</v>
      </c>
      <c r="K1806" s="825">
        <v>59174.61</v>
      </c>
      <c r="L1806" s="826">
        <v>60.910600000000002</v>
      </c>
      <c r="M1806" s="825">
        <f t="shared" si="142"/>
        <v>971.49937777661023</v>
      </c>
      <c r="N1806" s="587">
        <v>60</v>
      </c>
      <c r="O1806" s="588">
        <f t="shared" si="143"/>
        <v>986.24350000000004</v>
      </c>
      <c r="P1806" s="735">
        <f t="shared" ca="1" si="145"/>
        <v>7</v>
      </c>
      <c r="Q1806" s="552">
        <f t="shared" ca="1" si="144"/>
        <v>52270.905500000001</v>
      </c>
      <c r="R1806" s="563">
        <f t="shared" ca="1" si="146"/>
        <v>52270.905500000001</v>
      </c>
      <c r="S1806" s="827" t="s">
        <v>4964</v>
      </c>
    </row>
    <row r="1807" spans="2:19" ht="45" customHeight="1" x14ac:dyDescent="0.25">
      <c r="B1807" s="864">
        <v>45636</v>
      </c>
      <c r="C1807" s="828" t="s">
        <v>6270</v>
      </c>
      <c r="D1807" s="823"/>
      <c r="E1807" s="520" t="s">
        <v>6271</v>
      </c>
      <c r="F1807" s="520" t="s">
        <v>6350</v>
      </c>
      <c r="G1807" s="761" t="s">
        <v>6346</v>
      </c>
      <c r="H1807" s="824" t="s">
        <v>6478</v>
      </c>
      <c r="I1807" s="829" t="s">
        <v>6226</v>
      </c>
      <c r="J1807" s="830" t="s">
        <v>6225</v>
      </c>
      <c r="K1807" s="825">
        <v>59174.61</v>
      </c>
      <c r="L1807" s="826">
        <v>60.910600000000002</v>
      </c>
      <c r="M1807" s="825">
        <f t="shared" si="142"/>
        <v>971.49937777661023</v>
      </c>
      <c r="N1807" s="587">
        <v>60</v>
      </c>
      <c r="O1807" s="588">
        <f t="shared" si="143"/>
        <v>986.24350000000004</v>
      </c>
      <c r="P1807" s="735">
        <f t="shared" ca="1" si="145"/>
        <v>7</v>
      </c>
      <c r="Q1807" s="552">
        <f t="shared" ca="1" si="144"/>
        <v>52270.905500000001</v>
      </c>
      <c r="R1807" s="563">
        <f t="shared" ca="1" si="146"/>
        <v>52270.905500000001</v>
      </c>
      <c r="S1807" s="827" t="s">
        <v>4964</v>
      </c>
    </row>
    <row r="1808" spans="2:19" ht="45" customHeight="1" x14ac:dyDescent="0.25">
      <c r="B1808" s="864">
        <v>45636</v>
      </c>
      <c r="C1808" s="828" t="s">
        <v>6270</v>
      </c>
      <c r="D1808" s="823"/>
      <c r="E1808" s="520" t="s">
        <v>6271</v>
      </c>
      <c r="F1808" s="520" t="s">
        <v>6351</v>
      </c>
      <c r="G1808" s="761" t="s">
        <v>6346</v>
      </c>
      <c r="H1808" s="824" t="s">
        <v>6479</v>
      </c>
      <c r="I1808" s="829" t="s">
        <v>6226</v>
      </c>
      <c r="J1808" s="830" t="s">
        <v>6225</v>
      </c>
      <c r="K1808" s="825">
        <v>59174.61</v>
      </c>
      <c r="L1808" s="826">
        <v>60.910600000000002</v>
      </c>
      <c r="M1808" s="825">
        <f t="shared" ref="M1808:M1886" si="147">+K1808/L1808</f>
        <v>971.49937777661023</v>
      </c>
      <c r="N1808" s="587">
        <v>60</v>
      </c>
      <c r="O1808" s="588">
        <f t="shared" si="143"/>
        <v>986.24350000000004</v>
      </c>
      <c r="P1808" s="735">
        <f t="shared" ca="1" si="145"/>
        <v>7</v>
      </c>
      <c r="Q1808" s="552">
        <f t="shared" ca="1" si="144"/>
        <v>52270.905500000001</v>
      </c>
      <c r="R1808" s="563">
        <f t="shared" ca="1" si="146"/>
        <v>52270.905500000001</v>
      </c>
      <c r="S1808" s="827" t="s">
        <v>4964</v>
      </c>
    </row>
    <row r="1809" spans="2:19" ht="45" customHeight="1" x14ac:dyDescent="0.25">
      <c r="B1809" s="864">
        <v>45636</v>
      </c>
      <c r="C1809" s="828" t="s">
        <v>6270</v>
      </c>
      <c r="D1809" s="823"/>
      <c r="E1809" s="520" t="s">
        <v>6271</v>
      </c>
      <c r="F1809" s="520" t="s">
        <v>6352</v>
      </c>
      <c r="G1809" s="761" t="s">
        <v>6346</v>
      </c>
      <c r="H1809" s="824" t="s">
        <v>6480</v>
      </c>
      <c r="I1809" s="829" t="s">
        <v>6226</v>
      </c>
      <c r="J1809" s="830" t="s">
        <v>6225</v>
      </c>
      <c r="K1809" s="825">
        <v>59174.61</v>
      </c>
      <c r="L1809" s="826">
        <v>60.910600000000002</v>
      </c>
      <c r="M1809" s="825">
        <f t="shared" si="147"/>
        <v>971.49937777661023</v>
      </c>
      <c r="N1809" s="587">
        <v>60</v>
      </c>
      <c r="O1809" s="588">
        <f t="shared" si="143"/>
        <v>986.24350000000004</v>
      </c>
      <c r="P1809" s="735">
        <f t="shared" ca="1" si="145"/>
        <v>7</v>
      </c>
      <c r="Q1809" s="552">
        <f t="shared" ca="1" si="144"/>
        <v>52270.905500000001</v>
      </c>
      <c r="R1809" s="563">
        <f t="shared" ca="1" si="146"/>
        <v>52270.905500000001</v>
      </c>
      <c r="S1809" s="827" t="s">
        <v>4964</v>
      </c>
    </row>
    <row r="1810" spans="2:19" ht="45" customHeight="1" x14ac:dyDescent="0.25">
      <c r="B1810" s="864">
        <v>45636</v>
      </c>
      <c r="C1810" s="828" t="s">
        <v>6270</v>
      </c>
      <c r="D1810" s="823"/>
      <c r="E1810" s="520" t="s">
        <v>6271</v>
      </c>
      <c r="F1810" s="520" t="s">
        <v>6353</v>
      </c>
      <c r="G1810" s="761" t="s">
        <v>6346</v>
      </c>
      <c r="H1810" s="824" t="s">
        <v>6481</v>
      </c>
      <c r="I1810" s="829" t="s">
        <v>6226</v>
      </c>
      <c r="J1810" s="830" t="s">
        <v>6225</v>
      </c>
      <c r="K1810" s="825">
        <v>59174.61</v>
      </c>
      <c r="L1810" s="826">
        <v>60.910600000000002</v>
      </c>
      <c r="M1810" s="825">
        <f t="shared" si="147"/>
        <v>971.49937777661023</v>
      </c>
      <c r="N1810" s="587">
        <v>60</v>
      </c>
      <c r="O1810" s="588">
        <f t="shared" si="143"/>
        <v>986.24350000000004</v>
      </c>
      <c r="P1810" s="735">
        <f t="shared" ca="1" si="145"/>
        <v>7</v>
      </c>
      <c r="Q1810" s="552">
        <f t="shared" ca="1" si="144"/>
        <v>52270.905500000001</v>
      </c>
      <c r="R1810" s="563">
        <f t="shared" ca="1" si="146"/>
        <v>52270.905500000001</v>
      </c>
      <c r="S1810" s="827" t="s">
        <v>4964</v>
      </c>
    </row>
    <row r="1811" spans="2:19" ht="48" customHeight="1" x14ac:dyDescent="0.25">
      <c r="B1811" s="864">
        <v>45636</v>
      </c>
      <c r="C1811" s="828" t="s">
        <v>6270</v>
      </c>
      <c r="D1811" s="823"/>
      <c r="E1811" s="520" t="s">
        <v>6271</v>
      </c>
      <c r="F1811" s="520" t="s">
        <v>6354</v>
      </c>
      <c r="G1811" s="761" t="s">
        <v>6346</v>
      </c>
      <c r="H1811" s="824" t="s">
        <v>6482</v>
      </c>
      <c r="I1811" s="829" t="s">
        <v>6226</v>
      </c>
      <c r="J1811" s="830" t="s">
        <v>6225</v>
      </c>
      <c r="K1811" s="825">
        <v>59175.13</v>
      </c>
      <c r="L1811" s="826">
        <v>60.910600000000002</v>
      </c>
      <c r="M1811" s="825">
        <f t="shared" si="147"/>
        <v>971.50791487852678</v>
      </c>
      <c r="N1811" s="587">
        <v>60</v>
      </c>
      <c r="O1811" s="588">
        <f t="shared" si="143"/>
        <v>986.25216666666665</v>
      </c>
      <c r="P1811" s="735">
        <f t="shared" ca="1" si="145"/>
        <v>7</v>
      </c>
      <c r="Q1811" s="552">
        <f t="shared" ca="1" si="144"/>
        <v>52271.364833333333</v>
      </c>
      <c r="R1811" s="563">
        <f t="shared" ca="1" si="146"/>
        <v>52271.364833333333</v>
      </c>
      <c r="S1811" s="827" t="s">
        <v>4964</v>
      </c>
    </row>
    <row r="1812" spans="2:19" ht="60" customHeight="1" x14ac:dyDescent="0.25">
      <c r="B1812" s="864">
        <v>45643</v>
      </c>
      <c r="C1812" s="828">
        <v>45670</v>
      </c>
      <c r="D1812" s="823"/>
      <c r="E1812" s="520" t="s">
        <v>6386</v>
      </c>
      <c r="F1812" s="734" t="s">
        <v>6355</v>
      </c>
      <c r="G1812" s="761" t="s">
        <v>6356</v>
      </c>
      <c r="H1812" s="824" t="s">
        <v>28</v>
      </c>
      <c r="I1812" s="829" t="s">
        <v>6019</v>
      </c>
      <c r="J1812" s="738" t="s">
        <v>6009</v>
      </c>
      <c r="K1812" s="825">
        <v>125866.65</v>
      </c>
      <c r="L1812" s="826">
        <v>60.978000000000002</v>
      </c>
      <c r="M1812" s="825">
        <f t="shared" si="147"/>
        <v>2064.132146019876</v>
      </c>
      <c r="N1812" s="833">
        <v>60</v>
      </c>
      <c r="O1812" s="834">
        <f t="shared" si="143"/>
        <v>2097.7774999999997</v>
      </c>
      <c r="P1812" s="835">
        <f t="shared" ca="1" si="145"/>
        <v>7</v>
      </c>
      <c r="Q1812" s="825">
        <f t="shared" ca="1" si="144"/>
        <v>111182.20749999999</v>
      </c>
      <c r="R1812" s="825">
        <f t="shared" ca="1" si="146"/>
        <v>111182.20749999999</v>
      </c>
      <c r="S1812" s="836" t="s">
        <v>4212</v>
      </c>
    </row>
    <row r="1813" spans="2:19" ht="61.5" customHeight="1" x14ac:dyDescent="0.25">
      <c r="B1813" s="864">
        <v>45643</v>
      </c>
      <c r="C1813" s="828">
        <v>45670</v>
      </c>
      <c r="D1813" s="823"/>
      <c r="E1813" s="520" t="s">
        <v>6386</v>
      </c>
      <c r="F1813" s="734" t="s">
        <v>6357</v>
      </c>
      <c r="G1813" s="761" t="s">
        <v>6356</v>
      </c>
      <c r="H1813" s="824" t="s">
        <v>28</v>
      </c>
      <c r="I1813" s="829" t="s">
        <v>6019</v>
      </c>
      <c r="J1813" s="738" t="s">
        <v>6009</v>
      </c>
      <c r="K1813" s="825">
        <v>125866.65</v>
      </c>
      <c r="L1813" s="826">
        <v>60.978000000000002</v>
      </c>
      <c r="M1813" s="825">
        <f t="shared" si="147"/>
        <v>2064.132146019876</v>
      </c>
      <c r="N1813" s="833">
        <v>60</v>
      </c>
      <c r="O1813" s="834">
        <f t="shared" si="143"/>
        <v>2097.7774999999997</v>
      </c>
      <c r="P1813" s="835">
        <f t="shared" ca="1" si="145"/>
        <v>7</v>
      </c>
      <c r="Q1813" s="825">
        <f t="shared" ca="1" si="144"/>
        <v>111182.20749999999</v>
      </c>
      <c r="R1813" s="825">
        <f t="shared" ca="1" si="146"/>
        <v>111182.20749999999</v>
      </c>
      <c r="S1813" s="836" t="s">
        <v>4212</v>
      </c>
    </row>
    <row r="1814" spans="2:19" ht="60" customHeight="1" x14ac:dyDescent="0.25">
      <c r="B1814" s="864">
        <v>45643</v>
      </c>
      <c r="C1814" s="828">
        <v>45670</v>
      </c>
      <c r="D1814" s="823"/>
      <c r="E1814" s="520" t="s">
        <v>6386</v>
      </c>
      <c r="F1814" s="734" t="s">
        <v>6358</v>
      </c>
      <c r="G1814" s="761" t="s">
        <v>6356</v>
      </c>
      <c r="H1814" s="824" t="s">
        <v>28</v>
      </c>
      <c r="I1814" s="829" t="s">
        <v>6019</v>
      </c>
      <c r="J1814" s="738" t="s">
        <v>6009</v>
      </c>
      <c r="K1814" s="825">
        <v>125866.65</v>
      </c>
      <c r="L1814" s="826">
        <v>60.978000000000002</v>
      </c>
      <c r="M1814" s="825">
        <f t="shared" si="147"/>
        <v>2064.132146019876</v>
      </c>
      <c r="N1814" s="833">
        <v>60</v>
      </c>
      <c r="O1814" s="834">
        <f t="shared" si="143"/>
        <v>2097.7774999999997</v>
      </c>
      <c r="P1814" s="835">
        <f t="shared" ca="1" si="145"/>
        <v>7</v>
      </c>
      <c r="Q1814" s="825">
        <f t="shared" ca="1" si="144"/>
        <v>111182.20749999999</v>
      </c>
      <c r="R1814" s="825">
        <f t="shared" ca="1" si="146"/>
        <v>111182.20749999999</v>
      </c>
      <c r="S1814" s="836" t="s">
        <v>4212</v>
      </c>
    </row>
    <row r="1815" spans="2:19" ht="60" customHeight="1" x14ac:dyDescent="0.25">
      <c r="B1815" s="864">
        <v>45643</v>
      </c>
      <c r="C1815" s="828">
        <v>45670</v>
      </c>
      <c r="D1815" s="823"/>
      <c r="E1815" s="520" t="s">
        <v>6386</v>
      </c>
      <c r="F1815" s="734" t="s">
        <v>6359</v>
      </c>
      <c r="G1815" s="761" t="s">
        <v>6356</v>
      </c>
      <c r="H1815" s="824" t="s">
        <v>28</v>
      </c>
      <c r="I1815" s="829" t="s">
        <v>6019</v>
      </c>
      <c r="J1815" s="738" t="s">
        <v>6009</v>
      </c>
      <c r="K1815" s="825">
        <v>125866.65</v>
      </c>
      <c r="L1815" s="826">
        <v>60.978000000000002</v>
      </c>
      <c r="M1815" s="825">
        <f t="shared" si="147"/>
        <v>2064.132146019876</v>
      </c>
      <c r="N1815" s="833">
        <v>60</v>
      </c>
      <c r="O1815" s="834">
        <f t="shared" si="143"/>
        <v>2097.7774999999997</v>
      </c>
      <c r="P1815" s="835">
        <f t="shared" ca="1" si="145"/>
        <v>7</v>
      </c>
      <c r="Q1815" s="825">
        <f t="shared" ca="1" si="144"/>
        <v>111182.20749999999</v>
      </c>
      <c r="R1815" s="825">
        <f t="shared" ca="1" si="146"/>
        <v>111182.20749999999</v>
      </c>
      <c r="S1815" s="836" t="s">
        <v>4212</v>
      </c>
    </row>
    <row r="1816" spans="2:19" ht="60" customHeight="1" x14ac:dyDescent="0.25">
      <c r="B1816" s="864">
        <v>45643</v>
      </c>
      <c r="C1816" s="828">
        <v>45670</v>
      </c>
      <c r="D1816" s="823"/>
      <c r="E1816" s="520" t="s">
        <v>6386</v>
      </c>
      <c r="F1816" s="734" t="s">
        <v>6360</v>
      </c>
      <c r="G1816" s="761" t="s">
        <v>6356</v>
      </c>
      <c r="H1816" s="824" t="s">
        <v>28</v>
      </c>
      <c r="I1816" s="829" t="s">
        <v>6019</v>
      </c>
      <c r="J1816" s="738" t="s">
        <v>6009</v>
      </c>
      <c r="K1816" s="825">
        <v>125866.65</v>
      </c>
      <c r="L1816" s="826">
        <v>60.978000000000002</v>
      </c>
      <c r="M1816" s="825">
        <f t="shared" si="147"/>
        <v>2064.132146019876</v>
      </c>
      <c r="N1816" s="833">
        <v>60</v>
      </c>
      <c r="O1816" s="834">
        <f t="shared" si="143"/>
        <v>2097.7774999999997</v>
      </c>
      <c r="P1816" s="835">
        <f t="shared" ca="1" si="145"/>
        <v>7</v>
      </c>
      <c r="Q1816" s="825">
        <f t="shared" ca="1" si="144"/>
        <v>111182.20749999999</v>
      </c>
      <c r="R1816" s="825">
        <f t="shared" ca="1" si="146"/>
        <v>111182.20749999999</v>
      </c>
      <c r="S1816" s="836" t="s">
        <v>4212</v>
      </c>
    </row>
    <row r="1817" spans="2:19" ht="60" customHeight="1" x14ac:dyDescent="0.25">
      <c r="B1817" s="864">
        <v>45643</v>
      </c>
      <c r="C1817" s="828">
        <v>45670</v>
      </c>
      <c r="D1817" s="823"/>
      <c r="E1817" s="520" t="s">
        <v>6386</v>
      </c>
      <c r="F1817" s="734" t="s">
        <v>6361</v>
      </c>
      <c r="G1817" s="761" t="s">
        <v>6356</v>
      </c>
      <c r="H1817" s="824" t="s">
        <v>28</v>
      </c>
      <c r="I1817" s="829" t="s">
        <v>6019</v>
      </c>
      <c r="J1817" s="738" t="s">
        <v>6009</v>
      </c>
      <c r="K1817" s="825">
        <v>125866.65</v>
      </c>
      <c r="L1817" s="826">
        <v>60.978000000000002</v>
      </c>
      <c r="M1817" s="825">
        <f t="shared" si="147"/>
        <v>2064.132146019876</v>
      </c>
      <c r="N1817" s="833">
        <v>60</v>
      </c>
      <c r="O1817" s="834">
        <f t="shared" si="143"/>
        <v>2097.7774999999997</v>
      </c>
      <c r="P1817" s="835">
        <f t="shared" ca="1" si="145"/>
        <v>7</v>
      </c>
      <c r="Q1817" s="825">
        <f t="shared" ca="1" si="144"/>
        <v>111182.20749999999</v>
      </c>
      <c r="R1817" s="825">
        <f t="shared" ca="1" si="146"/>
        <v>111182.20749999999</v>
      </c>
      <c r="S1817" s="836" t="s">
        <v>4212</v>
      </c>
    </row>
    <row r="1818" spans="2:19" ht="60" customHeight="1" x14ac:dyDescent="0.25">
      <c r="B1818" s="864">
        <v>45643</v>
      </c>
      <c r="C1818" s="828">
        <v>45670</v>
      </c>
      <c r="D1818" s="823"/>
      <c r="E1818" s="520" t="s">
        <v>6386</v>
      </c>
      <c r="F1818" s="734" t="s">
        <v>6362</v>
      </c>
      <c r="G1818" s="761" t="s">
        <v>6356</v>
      </c>
      <c r="H1818" s="824" t="s">
        <v>28</v>
      </c>
      <c r="I1818" s="829" t="s">
        <v>6019</v>
      </c>
      <c r="J1818" s="738" t="s">
        <v>6009</v>
      </c>
      <c r="K1818" s="825">
        <v>125866.65</v>
      </c>
      <c r="L1818" s="826">
        <v>60.978000000000002</v>
      </c>
      <c r="M1818" s="825">
        <f t="shared" si="147"/>
        <v>2064.132146019876</v>
      </c>
      <c r="N1818" s="833">
        <v>60</v>
      </c>
      <c r="O1818" s="834">
        <f t="shared" si="143"/>
        <v>2097.7774999999997</v>
      </c>
      <c r="P1818" s="835">
        <f t="shared" ca="1" si="145"/>
        <v>7</v>
      </c>
      <c r="Q1818" s="825">
        <f t="shared" ca="1" si="144"/>
        <v>111182.20749999999</v>
      </c>
      <c r="R1818" s="825">
        <f t="shared" ca="1" si="146"/>
        <v>111182.20749999999</v>
      </c>
      <c r="S1818" s="836" t="s">
        <v>4212</v>
      </c>
    </row>
    <row r="1819" spans="2:19" ht="60" customHeight="1" x14ac:dyDescent="0.25">
      <c r="B1819" s="864">
        <v>45643</v>
      </c>
      <c r="C1819" s="828">
        <v>45670</v>
      </c>
      <c r="D1819" s="823"/>
      <c r="E1819" s="520" t="s">
        <v>6386</v>
      </c>
      <c r="F1819" s="734" t="s">
        <v>6363</v>
      </c>
      <c r="G1819" s="761" t="s">
        <v>6356</v>
      </c>
      <c r="H1819" s="824" t="s">
        <v>28</v>
      </c>
      <c r="I1819" s="829" t="s">
        <v>6019</v>
      </c>
      <c r="J1819" s="738" t="s">
        <v>6009</v>
      </c>
      <c r="K1819" s="825">
        <v>125866.65</v>
      </c>
      <c r="L1819" s="826">
        <v>60.978000000000002</v>
      </c>
      <c r="M1819" s="825">
        <f t="shared" si="147"/>
        <v>2064.132146019876</v>
      </c>
      <c r="N1819" s="833">
        <v>60</v>
      </c>
      <c r="O1819" s="834">
        <f t="shared" si="143"/>
        <v>2097.7774999999997</v>
      </c>
      <c r="P1819" s="835">
        <f t="shared" ca="1" si="145"/>
        <v>7</v>
      </c>
      <c r="Q1819" s="825">
        <f t="shared" ca="1" si="144"/>
        <v>111182.20749999999</v>
      </c>
      <c r="R1819" s="825">
        <f t="shared" ca="1" si="146"/>
        <v>111182.20749999999</v>
      </c>
      <c r="S1819" s="836" t="s">
        <v>4212</v>
      </c>
    </row>
    <row r="1820" spans="2:19" ht="60" customHeight="1" x14ac:dyDescent="0.25">
      <c r="B1820" s="864">
        <v>45643</v>
      </c>
      <c r="C1820" s="828">
        <v>45670</v>
      </c>
      <c r="D1820" s="823"/>
      <c r="E1820" s="520" t="s">
        <v>6386</v>
      </c>
      <c r="F1820" s="734" t="s">
        <v>6364</v>
      </c>
      <c r="G1820" s="761" t="s">
        <v>6356</v>
      </c>
      <c r="H1820" s="824" t="s">
        <v>28</v>
      </c>
      <c r="I1820" s="829" t="s">
        <v>6019</v>
      </c>
      <c r="J1820" s="738" t="s">
        <v>6009</v>
      </c>
      <c r="K1820" s="825">
        <v>125866.65</v>
      </c>
      <c r="L1820" s="826">
        <v>60.978000000000002</v>
      </c>
      <c r="M1820" s="825">
        <f t="shared" si="147"/>
        <v>2064.132146019876</v>
      </c>
      <c r="N1820" s="833">
        <v>60</v>
      </c>
      <c r="O1820" s="834">
        <f t="shared" si="143"/>
        <v>2097.7774999999997</v>
      </c>
      <c r="P1820" s="835">
        <f t="shared" ca="1" si="145"/>
        <v>7</v>
      </c>
      <c r="Q1820" s="825">
        <f t="shared" ca="1" si="144"/>
        <v>111182.20749999999</v>
      </c>
      <c r="R1820" s="825">
        <f t="shared" ca="1" si="146"/>
        <v>111182.20749999999</v>
      </c>
      <c r="S1820" s="836" t="s">
        <v>4212</v>
      </c>
    </row>
    <row r="1821" spans="2:19" ht="60" customHeight="1" x14ac:dyDescent="0.25">
      <c r="B1821" s="864">
        <v>45643</v>
      </c>
      <c r="C1821" s="828">
        <v>45670</v>
      </c>
      <c r="D1821" s="823"/>
      <c r="E1821" s="520" t="s">
        <v>6386</v>
      </c>
      <c r="F1821" s="734" t="s">
        <v>6365</v>
      </c>
      <c r="G1821" s="761" t="s">
        <v>6356</v>
      </c>
      <c r="H1821" s="824" t="s">
        <v>28</v>
      </c>
      <c r="I1821" s="829" t="s">
        <v>6019</v>
      </c>
      <c r="J1821" s="738" t="s">
        <v>6009</v>
      </c>
      <c r="K1821" s="825">
        <v>125866.65</v>
      </c>
      <c r="L1821" s="826">
        <v>60.978000000000002</v>
      </c>
      <c r="M1821" s="825">
        <f t="shared" si="147"/>
        <v>2064.132146019876</v>
      </c>
      <c r="N1821" s="833">
        <v>60</v>
      </c>
      <c r="O1821" s="834">
        <f t="shared" si="143"/>
        <v>2097.7774999999997</v>
      </c>
      <c r="P1821" s="835">
        <f t="shared" ca="1" si="145"/>
        <v>7</v>
      </c>
      <c r="Q1821" s="825">
        <f t="shared" ca="1" si="144"/>
        <v>111182.20749999999</v>
      </c>
      <c r="R1821" s="825">
        <f t="shared" ca="1" si="146"/>
        <v>111182.20749999999</v>
      </c>
      <c r="S1821" s="836" t="s">
        <v>4212</v>
      </c>
    </row>
    <row r="1822" spans="2:19" ht="60" customHeight="1" x14ac:dyDescent="0.25">
      <c r="B1822" s="864">
        <v>45643</v>
      </c>
      <c r="C1822" s="828">
        <v>45670</v>
      </c>
      <c r="D1822" s="823"/>
      <c r="E1822" s="520" t="s">
        <v>6386</v>
      </c>
      <c r="F1822" s="734" t="s">
        <v>6366</v>
      </c>
      <c r="G1822" s="761" t="s">
        <v>6356</v>
      </c>
      <c r="H1822" s="824" t="s">
        <v>28</v>
      </c>
      <c r="I1822" s="829" t="s">
        <v>6019</v>
      </c>
      <c r="J1822" s="738" t="s">
        <v>6009</v>
      </c>
      <c r="K1822" s="825">
        <v>125866.65</v>
      </c>
      <c r="L1822" s="826">
        <v>60.978000000000002</v>
      </c>
      <c r="M1822" s="825">
        <f t="shared" si="147"/>
        <v>2064.132146019876</v>
      </c>
      <c r="N1822" s="833">
        <v>60</v>
      </c>
      <c r="O1822" s="834">
        <f t="shared" si="143"/>
        <v>2097.7774999999997</v>
      </c>
      <c r="P1822" s="835">
        <f t="shared" ca="1" si="145"/>
        <v>7</v>
      </c>
      <c r="Q1822" s="825">
        <f t="shared" ca="1" si="144"/>
        <v>111182.20749999999</v>
      </c>
      <c r="R1822" s="825">
        <f t="shared" ca="1" si="146"/>
        <v>111182.20749999999</v>
      </c>
      <c r="S1822" s="836" t="s">
        <v>4212</v>
      </c>
    </row>
    <row r="1823" spans="2:19" ht="60" customHeight="1" x14ac:dyDescent="0.25">
      <c r="B1823" s="864">
        <v>45643</v>
      </c>
      <c r="C1823" s="828">
        <v>45670</v>
      </c>
      <c r="D1823" s="823"/>
      <c r="E1823" s="520" t="s">
        <v>6386</v>
      </c>
      <c r="F1823" s="734" t="s">
        <v>6367</v>
      </c>
      <c r="G1823" s="761" t="s">
        <v>6356</v>
      </c>
      <c r="H1823" s="824" t="s">
        <v>28</v>
      </c>
      <c r="I1823" s="829" t="s">
        <v>6019</v>
      </c>
      <c r="J1823" s="738" t="s">
        <v>6009</v>
      </c>
      <c r="K1823" s="825">
        <v>125866.65</v>
      </c>
      <c r="L1823" s="826">
        <v>60.978000000000002</v>
      </c>
      <c r="M1823" s="825">
        <f t="shared" si="147"/>
        <v>2064.132146019876</v>
      </c>
      <c r="N1823" s="833">
        <v>60</v>
      </c>
      <c r="O1823" s="834">
        <f t="shared" si="143"/>
        <v>2097.7774999999997</v>
      </c>
      <c r="P1823" s="835">
        <f t="shared" ca="1" si="145"/>
        <v>7</v>
      </c>
      <c r="Q1823" s="825">
        <f t="shared" ca="1" si="144"/>
        <v>111182.20749999999</v>
      </c>
      <c r="R1823" s="825">
        <f t="shared" ca="1" si="146"/>
        <v>111182.20749999999</v>
      </c>
      <c r="S1823" s="836" t="s">
        <v>4212</v>
      </c>
    </row>
    <row r="1824" spans="2:19" ht="60" customHeight="1" x14ac:dyDescent="0.25">
      <c r="B1824" s="864">
        <v>45643</v>
      </c>
      <c r="C1824" s="828">
        <v>45670</v>
      </c>
      <c r="D1824" s="823"/>
      <c r="E1824" s="520" t="s">
        <v>6386</v>
      </c>
      <c r="F1824" s="734" t="s">
        <v>6368</v>
      </c>
      <c r="G1824" s="761" t="s">
        <v>6356</v>
      </c>
      <c r="H1824" s="824" t="s">
        <v>28</v>
      </c>
      <c r="I1824" s="829" t="s">
        <v>6019</v>
      </c>
      <c r="J1824" s="738" t="s">
        <v>6009</v>
      </c>
      <c r="K1824" s="825">
        <v>125866.65</v>
      </c>
      <c r="L1824" s="826">
        <v>60.978000000000002</v>
      </c>
      <c r="M1824" s="825">
        <f t="shared" si="147"/>
        <v>2064.132146019876</v>
      </c>
      <c r="N1824" s="833">
        <v>60</v>
      </c>
      <c r="O1824" s="834">
        <f t="shared" si="143"/>
        <v>2097.7774999999997</v>
      </c>
      <c r="P1824" s="835">
        <f t="shared" ca="1" si="145"/>
        <v>7</v>
      </c>
      <c r="Q1824" s="825">
        <f t="shared" ca="1" si="144"/>
        <v>111182.20749999999</v>
      </c>
      <c r="R1824" s="825">
        <f t="shared" ca="1" si="146"/>
        <v>111182.20749999999</v>
      </c>
      <c r="S1824" s="836" t="s">
        <v>4212</v>
      </c>
    </row>
    <row r="1825" spans="2:19" ht="60" customHeight="1" x14ac:dyDescent="0.25">
      <c r="B1825" s="864">
        <v>45643</v>
      </c>
      <c r="C1825" s="828">
        <v>45670</v>
      </c>
      <c r="D1825" s="823"/>
      <c r="E1825" s="520" t="s">
        <v>6386</v>
      </c>
      <c r="F1825" s="734" t="s">
        <v>6369</v>
      </c>
      <c r="G1825" s="761" t="s">
        <v>6356</v>
      </c>
      <c r="H1825" s="824" t="s">
        <v>28</v>
      </c>
      <c r="I1825" s="829" t="s">
        <v>6019</v>
      </c>
      <c r="J1825" s="738" t="s">
        <v>6009</v>
      </c>
      <c r="K1825" s="825">
        <v>125866.65</v>
      </c>
      <c r="L1825" s="826">
        <v>60.978000000000002</v>
      </c>
      <c r="M1825" s="825">
        <f t="shared" si="147"/>
        <v>2064.132146019876</v>
      </c>
      <c r="N1825" s="833">
        <v>60</v>
      </c>
      <c r="O1825" s="834">
        <f t="shared" si="143"/>
        <v>2097.7774999999997</v>
      </c>
      <c r="P1825" s="835">
        <f t="shared" ca="1" si="145"/>
        <v>7</v>
      </c>
      <c r="Q1825" s="825">
        <f t="shared" ca="1" si="144"/>
        <v>111182.20749999999</v>
      </c>
      <c r="R1825" s="825">
        <f t="shared" ca="1" si="146"/>
        <v>111182.20749999999</v>
      </c>
      <c r="S1825" s="836" t="s">
        <v>4212</v>
      </c>
    </row>
    <row r="1826" spans="2:19" ht="60" customHeight="1" x14ac:dyDescent="0.25">
      <c r="B1826" s="864">
        <v>45643</v>
      </c>
      <c r="C1826" s="828">
        <v>45670</v>
      </c>
      <c r="D1826" s="823"/>
      <c r="E1826" s="520" t="s">
        <v>6386</v>
      </c>
      <c r="F1826" s="734" t="s">
        <v>6370</v>
      </c>
      <c r="G1826" s="761" t="s">
        <v>6356</v>
      </c>
      <c r="H1826" s="824" t="s">
        <v>28</v>
      </c>
      <c r="I1826" s="829" t="s">
        <v>6019</v>
      </c>
      <c r="J1826" s="738" t="s">
        <v>6009</v>
      </c>
      <c r="K1826" s="825">
        <v>125866.65</v>
      </c>
      <c r="L1826" s="826">
        <v>60.978000000000002</v>
      </c>
      <c r="M1826" s="825">
        <f t="shared" si="147"/>
        <v>2064.132146019876</v>
      </c>
      <c r="N1826" s="833">
        <v>60</v>
      </c>
      <c r="O1826" s="834">
        <f t="shared" si="143"/>
        <v>2097.7774999999997</v>
      </c>
      <c r="P1826" s="835">
        <f t="shared" ca="1" si="145"/>
        <v>7</v>
      </c>
      <c r="Q1826" s="825">
        <f t="shared" ca="1" si="144"/>
        <v>111182.20749999999</v>
      </c>
      <c r="R1826" s="825">
        <f t="shared" ca="1" si="146"/>
        <v>111182.20749999999</v>
      </c>
      <c r="S1826" s="836" t="s">
        <v>4212</v>
      </c>
    </row>
    <row r="1827" spans="2:19" ht="60" customHeight="1" x14ac:dyDescent="0.25">
      <c r="B1827" s="864">
        <v>45643</v>
      </c>
      <c r="C1827" s="828">
        <v>45670</v>
      </c>
      <c r="D1827" s="823"/>
      <c r="E1827" s="520" t="s">
        <v>6386</v>
      </c>
      <c r="F1827" s="734" t="s">
        <v>6371</v>
      </c>
      <c r="G1827" s="761" t="s">
        <v>6356</v>
      </c>
      <c r="H1827" s="824" t="s">
        <v>28</v>
      </c>
      <c r="I1827" s="829" t="s">
        <v>6019</v>
      </c>
      <c r="J1827" s="738" t="s">
        <v>6009</v>
      </c>
      <c r="K1827" s="825">
        <v>125866.65</v>
      </c>
      <c r="L1827" s="826">
        <v>60.978000000000002</v>
      </c>
      <c r="M1827" s="825">
        <f t="shared" si="147"/>
        <v>2064.132146019876</v>
      </c>
      <c r="N1827" s="833">
        <v>60</v>
      </c>
      <c r="O1827" s="834">
        <f t="shared" si="143"/>
        <v>2097.7774999999997</v>
      </c>
      <c r="P1827" s="835">
        <f t="shared" ca="1" si="145"/>
        <v>7</v>
      </c>
      <c r="Q1827" s="825">
        <f t="shared" ca="1" si="144"/>
        <v>111182.20749999999</v>
      </c>
      <c r="R1827" s="825">
        <f t="shared" ca="1" si="146"/>
        <v>111182.20749999999</v>
      </c>
      <c r="S1827" s="836" t="s">
        <v>4212</v>
      </c>
    </row>
    <row r="1828" spans="2:19" ht="60" customHeight="1" x14ac:dyDescent="0.25">
      <c r="B1828" s="864">
        <v>45643</v>
      </c>
      <c r="C1828" s="828">
        <v>45670</v>
      </c>
      <c r="D1828" s="823"/>
      <c r="E1828" s="520" t="s">
        <v>6386</v>
      </c>
      <c r="F1828" s="734" t="s">
        <v>6372</v>
      </c>
      <c r="G1828" s="761" t="s">
        <v>6356</v>
      </c>
      <c r="H1828" s="824" t="s">
        <v>28</v>
      </c>
      <c r="I1828" s="829" t="s">
        <v>6019</v>
      </c>
      <c r="J1828" s="738" t="s">
        <v>6009</v>
      </c>
      <c r="K1828" s="825">
        <v>125866.65</v>
      </c>
      <c r="L1828" s="826">
        <v>60.978000000000002</v>
      </c>
      <c r="M1828" s="825">
        <f t="shared" si="147"/>
        <v>2064.132146019876</v>
      </c>
      <c r="N1828" s="833">
        <v>60</v>
      </c>
      <c r="O1828" s="834">
        <f t="shared" si="143"/>
        <v>2097.7774999999997</v>
      </c>
      <c r="P1828" s="835">
        <f t="shared" ca="1" si="145"/>
        <v>7</v>
      </c>
      <c r="Q1828" s="825">
        <f t="shared" ca="1" si="144"/>
        <v>111182.20749999999</v>
      </c>
      <c r="R1828" s="825">
        <f t="shared" ca="1" si="146"/>
        <v>111182.20749999999</v>
      </c>
      <c r="S1828" s="836" t="s">
        <v>4212</v>
      </c>
    </row>
    <row r="1829" spans="2:19" ht="60" customHeight="1" x14ac:dyDescent="0.25">
      <c r="B1829" s="864">
        <v>45643</v>
      </c>
      <c r="C1829" s="828">
        <v>45670</v>
      </c>
      <c r="D1829" s="823"/>
      <c r="E1829" s="520" t="s">
        <v>6386</v>
      </c>
      <c r="F1829" s="734" t="s">
        <v>6373</v>
      </c>
      <c r="G1829" s="761" t="s">
        <v>6356</v>
      </c>
      <c r="H1829" s="824" t="s">
        <v>28</v>
      </c>
      <c r="I1829" s="829" t="s">
        <v>6019</v>
      </c>
      <c r="J1829" s="738" t="s">
        <v>6009</v>
      </c>
      <c r="K1829" s="825">
        <v>125866.65</v>
      </c>
      <c r="L1829" s="826">
        <v>60.978000000000002</v>
      </c>
      <c r="M1829" s="825">
        <f t="shared" si="147"/>
        <v>2064.132146019876</v>
      </c>
      <c r="N1829" s="833">
        <v>60</v>
      </c>
      <c r="O1829" s="834">
        <f t="shared" si="143"/>
        <v>2097.7774999999997</v>
      </c>
      <c r="P1829" s="835">
        <f t="shared" ca="1" si="145"/>
        <v>7</v>
      </c>
      <c r="Q1829" s="825">
        <f t="shared" ca="1" si="144"/>
        <v>111182.20749999999</v>
      </c>
      <c r="R1829" s="825">
        <f t="shared" ca="1" si="146"/>
        <v>111182.20749999999</v>
      </c>
      <c r="S1829" s="836" t="s">
        <v>4212</v>
      </c>
    </row>
    <row r="1830" spans="2:19" ht="60" customHeight="1" x14ac:dyDescent="0.25">
      <c r="B1830" s="864">
        <v>45643</v>
      </c>
      <c r="C1830" s="828">
        <v>45670</v>
      </c>
      <c r="D1830" s="823"/>
      <c r="E1830" s="520" t="s">
        <v>6386</v>
      </c>
      <c r="F1830" s="734" t="s">
        <v>6374</v>
      </c>
      <c r="G1830" s="761" t="s">
        <v>6356</v>
      </c>
      <c r="H1830" s="824" t="s">
        <v>28</v>
      </c>
      <c r="I1830" s="829" t="s">
        <v>6019</v>
      </c>
      <c r="J1830" s="738" t="s">
        <v>6009</v>
      </c>
      <c r="K1830" s="825">
        <v>125866.65</v>
      </c>
      <c r="L1830" s="826">
        <v>60.978000000000002</v>
      </c>
      <c r="M1830" s="825">
        <f t="shared" si="147"/>
        <v>2064.132146019876</v>
      </c>
      <c r="N1830" s="833">
        <v>60</v>
      </c>
      <c r="O1830" s="834">
        <f t="shared" si="143"/>
        <v>2097.7774999999997</v>
      </c>
      <c r="P1830" s="835">
        <f t="shared" ca="1" si="145"/>
        <v>7</v>
      </c>
      <c r="Q1830" s="825">
        <f t="shared" ca="1" si="144"/>
        <v>111182.20749999999</v>
      </c>
      <c r="R1830" s="825">
        <f t="shared" ca="1" si="146"/>
        <v>111182.20749999999</v>
      </c>
      <c r="S1830" s="836" t="s">
        <v>4212</v>
      </c>
    </row>
    <row r="1831" spans="2:19" ht="60" customHeight="1" x14ac:dyDescent="0.25">
      <c r="B1831" s="864">
        <v>45643</v>
      </c>
      <c r="C1831" s="828">
        <v>45670</v>
      </c>
      <c r="D1831" s="823"/>
      <c r="E1831" s="520" t="s">
        <v>6386</v>
      </c>
      <c r="F1831" s="734" t="s">
        <v>6375</v>
      </c>
      <c r="G1831" s="761" t="s">
        <v>6356</v>
      </c>
      <c r="H1831" s="824" t="s">
        <v>28</v>
      </c>
      <c r="I1831" s="829" t="s">
        <v>6019</v>
      </c>
      <c r="J1831" s="738" t="s">
        <v>6009</v>
      </c>
      <c r="K1831" s="825">
        <v>125866.65</v>
      </c>
      <c r="L1831" s="826">
        <v>60.978000000000002</v>
      </c>
      <c r="M1831" s="825">
        <f t="shared" si="147"/>
        <v>2064.132146019876</v>
      </c>
      <c r="N1831" s="833">
        <v>60</v>
      </c>
      <c r="O1831" s="834">
        <f t="shared" si="143"/>
        <v>2097.7774999999997</v>
      </c>
      <c r="P1831" s="835">
        <f t="shared" ca="1" si="145"/>
        <v>7</v>
      </c>
      <c r="Q1831" s="825">
        <f t="shared" ca="1" si="144"/>
        <v>111182.20749999999</v>
      </c>
      <c r="R1831" s="825">
        <f t="shared" ca="1" si="146"/>
        <v>111182.20749999999</v>
      </c>
      <c r="S1831" s="836" t="s">
        <v>4212</v>
      </c>
    </row>
    <row r="1832" spans="2:19" ht="60" customHeight="1" x14ac:dyDescent="0.25">
      <c r="B1832" s="864">
        <v>45643</v>
      </c>
      <c r="C1832" s="828">
        <v>45670</v>
      </c>
      <c r="D1832" s="823"/>
      <c r="E1832" s="520" t="s">
        <v>6386</v>
      </c>
      <c r="F1832" s="734" t="s">
        <v>6376</v>
      </c>
      <c r="G1832" s="761" t="s">
        <v>6356</v>
      </c>
      <c r="H1832" s="824" t="s">
        <v>28</v>
      </c>
      <c r="I1832" s="829" t="s">
        <v>6019</v>
      </c>
      <c r="J1832" s="738" t="s">
        <v>6009</v>
      </c>
      <c r="K1832" s="825">
        <v>125866.65</v>
      </c>
      <c r="L1832" s="826">
        <v>60.978000000000002</v>
      </c>
      <c r="M1832" s="825">
        <f t="shared" si="147"/>
        <v>2064.132146019876</v>
      </c>
      <c r="N1832" s="833">
        <v>60</v>
      </c>
      <c r="O1832" s="834">
        <f t="shared" si="143"/>
        <v>2097.7774999999997</v>
      </c>
      <c r="P1832" s="835">
        <f t="shared" ca="1" si="145"/>
        <v>7</v>
      </c>
      <c r="Q1832" s="825">
        <f t="shared" ca="1" si="144"/>
        <v>111182.20749999999</v>
      </c>
      <c r="R1832" s="825">
        <f t="shared" ca="1" si="146"/>
        <v>111182.20749999999</v>
      </c>
      <c r="S1832" s="836" t="s">
        <v>4212</v>
      </c>
    </row>
    <row r="1833" spans="2:19" ht="60" customHeight="1" x14ac:dyDescent="0.25">
      <c r="B1833" s="864">
        <v>45643</v>
      </c>
      <c r="C1833" s="828">
        <v>45670</v>
      </c>
      <c r="D1833" s="823"/>
      <c r="E1833" s="520" t="s">
        <v>6386</v>
      </c>
      <c r="F1833" s="734" t="s">
        <v>6377</v>
      </c>
      <c r="G1833" s="761" t="s">
        <v>6356</v>
      </c>
      <c r="H1833" s="824" t="s">
        <v>28</v>
      </c>
      <c r="I1833" s="829" t="s">
        <v>6019</v>
      </c>
      <c r="J1833" s="738" t="s">
        <v>6009</v>
      </c>
      <c r="K1833" s="825">
        <v>125866.65</v>
      </c>
      <c r="L1833" s="826">
        <v>60.978000000000002</v>
      </c>
      <c r="M1833" s="825">
        <f t="shared" si="147"/>
        <v>2064.132146019876</v>
      </c>
      <c r="N1833" s="833">
        <v>60</v>
      </c>
      <c r="O1833" s="834">
        <f t="shared" si="143"/>
        <v>2097.7774999999997</v>
      </c>
      <c r="P1833" s="835">
        <f t="shared" ca="1" si="145"/>
        <v>7</v>
      </c>
      <c r="Q1833" s="825">
        <f t="shared" ca="1" si="144"/>
        <v>111182.20749999999</v>
      </c>
      <c r="R1833" s="825">
        <f t="shared" ca="1" si="146"/>
        <v>111182.20749999999</v>
      </c>
      <c r="S1833" s="836" t="s">
        <v>4212</v>
      </c>
    </row>
    <row r="1834" spans="2:19" ht="60" customHeight="1" x14ac:dyDescent="0.25">
      <c r="B1834" s="864">
        <v>45643</v>
      </c>
      <c r="C1834" s="828">
        <v>45670</v>
      </c>
      <c r="D1834" s="823"/>
      <c r="E1834" s="520" t="s">
        <v>6386</v>
      </c>
      <c r="F1834" s="734" t="s">
        <v>6378</v>
      </c>
      <c r="G1834" s="761" t="s">
        <v>6356</v>
      </c>
      <c r="H1834" s="824" t="s">
        <v>28</v>
      </c>
      <c r="I1834" s="829" t="s">
        <v>6019</v>
      </c>
      <c r="J1834" s="738" t="s">
        <v>6009</v>
      </c>
      <c r="K1834" s="825">
        <v>125866.65</v>
      </c>
      <c r="L1834" s="826">
        <v>60.978000000000002</v>
      </c>
      <c r="M1834" s="825">
        <f t="shared" si="147"/>
        <v>2064.132146019876</v>
      </c>
      <c r="N1834" s="833">
        <v>60</v>
      </c>
      <c r="O1834" s="834">
        <f t="shared" si="143"/>
        <v>2097.7774999999997</v>
      </c>
      <c r="P1834" s="835">
        <f t="shared" ca="1" si="145"/>
        <v>7</v>
      </c>
      <c r="Q1834" s="825">
        <f t="shared" ca="1" si="144"/>
        <v>111182.20749999999</v>
      </c>
      <c r="R1834" s="825">
        <f t="shared" ca="1" si="146"/>
        <v>111182.20749999999</v>
      </c>
      <c r="S1834" s="836" t="s">
        <v>4212</v>
      </c>
    </row>
    <row r="1835" spans="2:19" ht="60" customHeight="1" x14ac:dyDescent="0.25">
      <c r="B1835" s="864">
        <v>45643</v>
      </c>
      <c r="C1835" s="828">
        <v>45670</v>
      </c>
      <c r="D1835" s="823"/>
      <c r="E1835" s="520" t="s">
        <v>6386</v>
      </c>
      <c r="F1835" s="734" t="s">
        <v>6379</v>
      </c>
      <c r="G1835" s="761" t="s">
        <v>6356</v>
      </c>
      <c r="H1835" s="824" t="s">
        <v>28</v>
      </c>
      <c r="I1835" s="829" t="s">
        <v>6019</v>
      </c>
      <c r="J1835" s="738" t="s">
        <v>6009</v>
      </c>
      <c r="K1835" s="825">
        <v>125866.65</v>
      </c>
      <c r="L1835" s="826">
        <v>60.978000000000002</v>
      </c>
      <c r="M1835" s="825">
        <f t="shared" si="147"/>
        <v>2064.132146019876</v>
      </c>
      <c r="N1835" s="833">
        <v>60</v>
      </c>
      <c r="O1835" s="834">
        <f t="shared" si="143"/>
        <v>2097.7774999999997</v>
      </c>
      <c r="P1835" s="835">
        <f t="shared" ca="1" si="145"/>
        <v>7</v>
      </c>
      <c r="Q1835" s="825">
        <f t="shared" ca="1" si="144"/>
        <v>111182.20749999999</v>
      </c>
      <c r="R1835" s="825">
        <f t="shared" ca="1" si="146"/>
        <v>111182.20749999999</v>
      </c>
      <c r="S1835" s="836" t="s">
        <v>4212</v>
      </c>
    </row>
    <row r="1836" spans="2:19" ht="60" customHeight="1" x14ac:dyDescent="0.25">
      <c r="B1836" s="864">
        <v>45643</v>
      </c>
      <c r="C1836" s="828">
        <v>45670</v>
      </c>
      <c r="D1836" s="823"/>
      <c r="E1836" s="520" t="s">
        <v>6386</v>
      </c>
      <c r="F1836" s="734" t="s">
        <v>6380</v>
      </c>
      <c r="G1836" s="761" t="s">
        <v>6356</v>
      </c>
      <c r="H1836" s="824" t="s">
        <v>28</v>
      </c>
      <c r="I1836" s="829" t="s">
        <v>6019</v>
      </c>
      <c r="J1836" s="738" t="s">
        <v>6009</v>
      </c>
      <c r="K1836" s="825">
        <v>125866.65</v>
      </c>
      <c r="L1836" s="826">
        <v>60.978000000000002</v>
      </c>
      <c r="M1836" s="825">
        <f t="shared" si="147"/>
        <v>2064.132146019876</v>
      </c>
      <c r="N1836" s="833">
        <v>60</v>
      </c>
      <c r="O1836" s="834">
        <f t="shared" si="143"/>
        <v>2097.7774999999997</v>
      </c>
      <c r="P1836" s="835">
        <f t="shared" ca="1" si="145"/>
        <v>7</v>
      </c>
      <c r="Q1836" s="825">
        <f t="shared" ca="1" si="144"/>
        <v>111182.20749999999</v>
      </c>
      <c r="R1836" s="825">
        <f t="shared" ca="1" si="146"/>
        <v>111182.20749999999</v>
      </c>
      <c r="S1836" s="836" t="s">
        <v>4212</v>
      </c>
    </row>
    <row r="1837" spans="2:19" ht="60" customHeight="1" x14ac:dyDescent="0.25">
      <c r="B1837" s="864">
        <v>45643</v>
      </c>
      <c r="C1837" s="828">
        <v>45670</v>
      </c>
      <c r="D1837" s="823"/>
      <c r="E1837" s="520" t="s">
        <v>6386</v>
      </c>
      <c r="F1837" s="734" t="s">
        <v>6381</v>
      </c>
      <c r="G1837" s="761" t="s">
        <v>6356</v>
      </c>
      <c r="H1837" s="824" t="s">
        <v>28</v>
      </c>
      <c r="I1837" s="829" t="s">
        <v>6019</v>
      </c>
      <c r="J1837" s="738" t="s">
        <v>6009</v>
      </c>
      <c r="K1837" s="825">
        <v>125866.65</v>
      </c>
      <c r="L1837" s="826">
        <v>60.978000000000002</v>
      </c>
      <c r="M1837" s="825">
        <f t="shared" si="147"/>
        <v>2064.132146019876</v>
      </c>
      <c r="N1837" s="833">
        <v>60</v>
      </c>
      <c r="O1837" s="834">
        <f t="shared" si="143"/>
        <v>2097.7774999999997</v>
      </c>
      <c r="P1837" s="835">
        <f t="shared" ca="1" si="145"/>
        <v>7</v>
      </c>
      <c r="Q1837" s="825">
        <f t="shared" ca="1" si="144"/>
        <v>111182.20749999999</v>
      </c>
      <c r="R1837" s="825">
        <f t="shared" ca="1" si="146"/>
        <v>111182.20749999999</v>
      </c>
      <c r="S1837" s="836" t="s">
        <v>4212</v>
      </c>
    </row>
    <row r="1838" spans="2:19" ht="60" customHeight="1" x14ac:dyDescent="0.25">
      <c r="B1838" s="864">
        <v>45643</v>
      </c>
      <c r="C1838" s="828">
        <v>45670</v>
      </c>
      <c r="D1838" s="823"/>
      <c r="E1838" s="520" t="s">
        <v>6386</v>
      </c>
      <c r="F1838" s="734" t="s">
        <v>6382</v>
      </c>
      <c r="G1838" s="761" t="s">
        <v>6356</v>
      </c>
      <c r="H1838" s="824" t="s">
        <v>28</v>
      </c>
      <c r="I1838" s="829" t="s">
        <v>6019</v>
      </c>
      <c r="J1838" s="738" t="s">
        <v>6009</v>
      </c>
      <c r="K1838" s="825">
        <v>125866.65</v>
      </c>
      <c r="L1838" s="826">
        <v>60.978000000000002</v>
      </c>
      <c r="M1838" s="825">
        <f t="shared" si="147"/>
        <v>2064.132146019876</v>
      </c>
      <c r="N1838" s="833">
        <v>60</v>
      </c>
      <c r="O1838" s="834">
        <f t="shared" si="143"/>
        <v>2097.7774999999997</v>
      </c>
      <c r="P1838" s="835">
        <f t="shared" ca="1" si="145"/>
        <v>7</v>
      </c>
      <c r="Q1838" s="825">
        <f t="shared" ca="1" si="144"/>
        <v>111182.20749999999</v>
      </c>
      <c r="R1838" s="825">
        <f t="shared" ca="1" si="146"/>
        <v>111182.20749999999</v>
      </c>
      <c r="S1838" s="836" t="s">
        <v>4212</v>
      </c>
    </row>
    <row r="1839" spans="2:19" ht="60" customHeight="1" x14ac:dyDescent="0.25">
      <c r="B1839" s="864">
        <v>45643</v>
      </c>
      <c r="C1839" s="828">
        <v>45670</v>
      </c>
      <c r="D1839" s="823"/>
      <c r="E1839" s="520" t="s">
        <v>6386</v>
      </c>
      <c r="F1839" s="734" t="s">
        <v>6383</v>
      </c>
      <c r="G1839" s="761" t="s">
        <v>6356</v>
      </c>
      <c r="H1839" s="824" t="s">
        <v>28</v>
      </c>
      <c r="I1839" s="829" t="s">
        <v>6019</v>
      </c>
      <c r="J1839" s="738" t="s">
        <v>6009</v>
      </c>
      <c r="K1839" s="825">
        <v>125866.65</v>
      </c>
      <c r="L1839" s="826">
        <v>60.978000000000002</v>
      </c>
      <c r="M1839" s="825">
        <f t="shared" si="147"/>
        <v>2064.132146019876</v>
      </c>
      <c r="N1839" s="833">
        <v>60</v>
      </c>
      <c r="O1839" s="834">
        <f t="shared" si="143"/>
        <v>2097.7774999999997</v>
      </c>
      <c r="P1839" s="835">
        <f t="shared" ca="1" si="145"/>
        <v>7</v>
      </c>
      <c r="Q1839" s="825">
        <f t="shared" ca="1" si="144"/>
        <v>111182.20749999999</v>
      </c>
      <c r="R1839" s="825">
        <f t="shared" ca="1" si="146"/>
        <v>111182.20749999999</v>
      </c>
      <c r="S1839" s="836" t="s">
        <v>4212</v>
      </c>
    </row>
    <row r="1840" spans="2:19" ht="60" customHeight="1" x14ac:dyDescent="0.25">
      <c r="B1840" s="864">
        <v>45643</v>
      </c>
      <c r="C1840" s="828">
        <v>45670</v>
      </c>
      <c r="D1840" s="823"/>
      <c r="E1840" s="520" t="s">
        <v>6386</v>
      </c>
      <c r="F1840" s="734" t="s">
        <v>6384</v>
      </c>
      <c r="G1840" s="761" t="s">
        <v>6356</v>
      </c>
      <c r="H1840" s="824" t="s">
        <v>28</v>
      </c>
      <c r="I1840" s="829" t="s">
        <v>6019</v>
      </c>
      <c r="J1840" s="738" t="s">
        <v>6009</v>
      </c>
      <c r="K1840" s="825">
        <v>125866.65</v>
      </c>
      <c r="L1840" s="826">
        <v>60.978000000000002</v>
      </c>
      <c r="M1840" s="825">
        <f t="shared" si="147"/>
        <v>2064.132146019876</v>
      </c>
      <c r="N1840" s="833">
        <v>60</v>
      </c>
      <c r="O1840" s="834">
        <f t="shared" si="143"/>
        <v>2097.7774999999997</v>
      </c>
      <c r="P1840" s="835">
        <f t="shared" ca="1" si="145"/>
        <v>7</v>
      </c>
      <c r="Q1840" s="825">
        <f t="shared" ca="1" si="144"/>
        <v>111182.20749999999</v>
      </c>
      <c r="R1840" s="825">
        <f t="shared" ca="1" si="146"/>
        <v>111182.20749999999</v>
      </c>
      <c r="S1840" s="836" t="s">
        <v>4212</v>
      </c>
    </row>
    <row r="1841" spans="2:19" ht="60" customHeight="1" x14ac:dyDescent="0.25">
      <c r="B1841" s="865">
        <v>45643</v>
      </c>
      <c r="C1841" s="846">
        <v>45670</v>
      </c>
      <c r="D1841" s="847"/>
      <c r="E1841" s="848" t="s">
        <v>6386</v>
      </c>
      <c r="F1841" s="849" t="s">
        <v>6385</v>
      </c>
      <c r="G1841" s="816" t="s">
        <v>6356</v>
      </c>
      <c r="H1841" s="850" t="s">
        <v>28</v>
      </c>
      <c r="I1841" s="851" t="s">
        <v>6019</v>
      </c>
      <c r="J1841" s="903" t="s">
        <v>6009</v>
      </c>
      <c r="K1841" s="852">
        <v>125866.65</v>
      </c>
      <c r="L1841" s="853">
        <v>60.978000000000002</v>
      </c>
      <c r="M1841" s="852">
        <f t="shared" si="147"/>
        <v>2064.132146019876</v>
      </c>
      <c r="N1841" s="854">
        <v>60</v>
      </c>
      <c r="O1841" s="855">
        <f t="shared" si="143"/>
        <v>2097.7774999999997</v>
      </c>
      <c r="P1841" s="856">
        <f t="shared" ca="1" si="145"/>
        <v>7</v>
      </c>
      <c r="Q1841" s="852">
        <f t="shared" ca="1" si="144"/>
        <v>111182.20749999999</v>
      </c>
      <c r="R1841" s="852">
        <f t="shared" ca="1" si="146"/>
        <v>111182.20749999999</v>
      </c>
      <c r="S1841" s="857" t="s">
        <v>4212</v>
      </c>
    </row>
    <row r="1842" spans="2:19" ht="68.25" customHeight="1" x14ac:dyDescent="0.25">
      <c r="B1842" s="864">
        <v>45652</v>
      </c>
      <c r="C1842" s="828" t="s">
        <v>2349</v>
      </c>
      <c r="D1842" s="823"/>
      <c r="E1842" s="848" t="s">
        <v>6488</v>
      </c>
      <c r="F1842" s="734" t="s">
        <v>6846</v>
      </c>
      <c r="G1842" s="761" t="s">
        <v>6639</v>
      </c>
      <c r="H1842" s="824" t="s">
        <v>28</v>
      </c>
      <c r="I1842" s="829" t="s">
        <v>6019</v>
      </c>
      <c r="J1842" s="781" t="s">
        <v>19</v>
      </c>
      <c r="K1842" s="825">
        <v>52000</v>
      </c>
      <c r="L1842" s="826">
        <v>60.698799999999999</v>
      </c>
      <c r="M1842" s="825">
        <f t="shared" ref="M1842:M1856" si="148">+K1842/L1842</f>
        <v>856.68909434782893</v>
      </c>
      <c r="N1842" s="833">
        <v>60</v>
      </c>
      <c r="O1842" s="834">
        <f t="shared" ref="O1842:O1856" si="149">+K1842/N1842</f>
        <v>866.66666666666663</v>
      </c>
      <c r="P1842" s="835">
        <f t="shared" ref="P1842:P1856" ca="1" si="150">IF(B1842&lt;&gt;0,(ROUND((NOW()-B1842)/30,0)),0)</f>
        <v>7</v>
      </c>
      <c r="Q1842" s="825">
        <f t="shared" ref="Q1842:Q1856" ca="1" si="151">IF(OR(K1842=0,N1842=0,P1842=0),0,K1842-(O1842*P1842))</f>
        <v>45933.333333333336</v>
      </c>
      <c r="R1842" s="825">
        <f t="shared" ref="R1842:R1856" ca="1" si="152">IF(Q1842&lt;1,1,Q1842)</f>
        <v>45933.333333333336</v>
      </c>
      <c r="S1842" s="836" t="s">
        <v>1705</v>
      </c>
    </row>
    <row r="1843" spans="2:19" ht="45" customHeight="1" x14ac:dyDescent="0.25">
      <c r="B1843" s="864">
        <v>45652</v>
      </c>
      <c r="C1843" s="828" t="s">
        <v>2349</v>
      </c>
      <c r="D1843" s="823"/>
      <c r="E1843" s="848" t="s">
        <v>6488</v>
      </c>
      <c r="F1843" s="734" t="s">
        <v>6845</v>
      </c>
      <c r="G1843" s="761" t="s">
        <v>6638</v>
      </c>
      <c r="H1843" s="824" t="s">
        <v>28</v>
      </c>
      <c r="I1843" s="829" t="s">
        <v>6019</v>
      </c>
      <c r="J1843" s="781" t="s">
        <v>19</v>
      </c>
      <c r="K1843" s="825">
        <v>26550</v>
      </c>
      <c r="L1843" s="826">
        <v>60.698799999999999</v>
      </c>
      <c r="M1843" s="825">
        <f t="shared" si="148"/>
        <v>437.40568182567034</v>
      </c>
      <c r="N1843" s="833">
        <v>60</v>
      </c>
      <c r="O1843" s="834">
        <f t="shared" si="149"/>
        <v>442.5</v>
      </c>
      <c r="P1843" s="835">
        <f t="shared" ca="1" si="150"/>
        <v>7</v>
      </c>
      <c r="Q1843" s="825">
        <f t="shared" ca="1" si="151"/>
        <v>23452.5</v>
      </c>
      <c r="R1843" s="825">
        <f t="shared" ca="1" si="152"/>
        <v>23452.5</v>
      </c>
      <c r="S1843" s="836" t="s">
        <v>1705</v>
      </c>
    </row>
    <row r="1844" spans="2:19" ht="60" customHeight="1" x14ac:dyDescent="0.25">
      <c r="B1844" s="864">
        <v>45652</v>
      </c>
      <c r="C1844" s="828"/>
      <c r="D1844" s="823"/>
      <c r="E1844" s="848" t="s">
        <v>7030</v>
      </c>
      <c r="F1844" s="734" t="s">
        <v>6844</v>
      </c>
      <c r="G1844" s="761" t="s">
        <v>6847</v>
      </c>
      <c r="H1844" s="824" t="s">
        <v>28</v>
      </c>
      <c r="I1844" s="829" t="s">
        <v>6019</v>
      </c>
      <c r="J1844" s="781" t="s">
        <v>2349</v>
      </c>
      <c r="K1844" s="825">
        <v>32999.879999999997</v>
      </c>
      <c r="L1844" s="826">
        <v>60.698799999999999</v>
      </c>
      <c r="M1844" s="825">
        <f t="shared" si="148"/>
        <v>543.6661021305199</v>
      </c>
      <c r="N1844" s="833">
        <v>60</v>
      </c>
      <c r="O1844" s="834">
        <f t="shared" si="149"/>
        <v>549.99799999999993</v>
      </c>
      <c r="P1844" s="835">
        <f t="shared" ca="1" si="150"/>
        <v>7</v>
      </c>
      <c r="Q1844" s="825">
        <f t="shared" ca="1" si="151"/>
        <v>29149.893999999997</v>
      </c>
      <c r="R1844" s="825">
        <f t="shared" ca="1" si="152"/>
        <v>29149.893999999997</v>
      </c>
      <c r="S1844" s="836" t="s">
        <v>6641</v>
      </c>
    </row>
    <row r="1845" spans="2:19" ht="60" customHeight="1" x14ac:dyDescent="0.25">
      <c r="B1845" s="864">
        <v>45652</v>
      </c>
      <c r="C1845" s="828">
        <v>45807</v>
      </c>
      <c r="D1845" s="823"/>
      <c r="E1845" s="848" t="s">
        <v>7030</v>
      </c>
      <c r="F1845" s="734" t="s">
        <v>7050</v>
      </c>
      <c r="G1845" s="761" t="s">
        <v>7031</v>
      </c>
      <c r="H1845" s="824" t="s">
        <v>28</v>
      </c>
      <c r="I1845" s="829" t="s">
        <v>6019</v>
      </c>
      <c r="J1845" s="781" t="s">
        <v>2349</v>
      </c>
      <c r="K1845" s="825">
        <v>395999.44</v>
      </c>
      <c r="L1845" s="826">
        <v>60.698799999999999</v>
      </c>
      <c r="M1845" s="825">
        <f t="shared" si="148"/>
        <v>6524.0077233816819</v>
      </c>
      <c r="N1845" s="833">
        <v>60</v>
      </c>
      <c r="O1845" s="834">
        <f t="shared" si="149"/>
        <v>6599.9906666666666</v>
      </c>
      <c r="P1845" s="835">
        <f t="shared" ca="1" si="150"/>
        <v>7</v>
      </c>
      <c r="Q1845" s="825">
        <f t="shared" ca="1" si="151"/>
        <v>349799.50533333333</v>
      </c>
      <c r="R1845" s="825">
        <f t="shared" ca="1" si="152"/>
        <v>349799.50533333333</v>
      </c>
      <c r="S1845" s="836" t="s">
        <v>6641</v>
      </c>
    </row>
    <row r="1846" spans="2:19" ht="60" customHeight="1" x14ac:dyDescent="0.25">
      <c r="B1846" s="864">
        <v>45652</v>
      </c>
      <c r="C1846" s="828">
        <v>45807</v>
      </c>
      <c r="D1846" s="823"/>
      <c r="E1846" s="848" t="s">
        <v>7030</v>
      </c>
      <c r="F1846" s="734" t="s">
        <v>6831</v>
      </c>
      <c r="G1846" s="761" t="s">
        <v>6637</v>
      </c>
      <c r="H1846" s="824" t="s">
        <v>28</v>
      </c>
      <c r="I1846" s="829" t="s">
        <v>6019</v>
      </c>
      <c r="J1846" s="830" t="s">
        <v>6848</v>
      </c>
      <c r="K1846" s="825">
        <v>27499.99</v>
      </c>
      <c r="L1846" s="826">
        <v>60.698799999999999</v>
      </c>
      <c r="M1846" s="825">
        <f t="shared" si="148"/>
        <v>453.05656783989144</v>
      </c>
      <c r="N1846" s="833">
        <v>60</v>
      </c>
      <c r="O1846" s="834">
        <f t="shared" si="149"/>
        <v>458.33316666666667</v>
      </c>
      <c r="P1846" s="835">
        <f t="shared" ca="1" si="150"/>
        <v>7</v>
      </c>
      <c r="Q1846" s="825">
        <f t="shared" ca="1" si="151"/>
        <v>24291.657833333335</v>
      </c>
      <c r="R1846" s="825">
        <f t="shared" ca="1" si="152"/>
        <v>24291.657833333335</v>
      </c>
      <c r="S1846" s="836" t="s">
        <v>6641</v>
      </c>
    </row>
    <row r="1847" spans="2:19" ht="60" customHeight="1" x14ac:dyDescent="0.25">
      <c r="B1847" s="864">
        <v>45652</v>
      </c>
      <c r="C1847" s="828">
        <v>45807</v>
      </c>
      <c r="D1847" s="823"/>
      <c r="E1847" s="848" t="s">
        <v>7030</v>
      </c>
      <c r="F1847" s="734" t="s">
        <v>6832</v>
      </c>
      <c r="G1847" s="761" t="s">
        <v>6637</v>
      </c>
      <c r="H1847" s="824" t="s">
        <v>28</v>
      </c>
      <c r="I1847" s="829" t="s">
        <v>6019</v>
      </c>
      <c r="J1847" s="830" t="s">
        <v>6849</v>
      </c>
      <c r="K1847" s="825">
        <v>27499.99</v>
      </c>
      <c r="L1847" s="826">
        <v>60.698799999999999</v>
      </c>
      <c r="M1847" s="825">
        <f t="shared" si="148"/>
        <v>453.05656783989144</v>
      </c>
      <c r="N1847" s="833">
        <v>60</v>
      </c>
      <c r="O1847" s="834">
        <f t="shared" si="149"/>
        <v>458.33316666666667</v>
      </c>
      <c r="P1847" s="835">
        <f t="shared" ca="1" si="150"/>
        <v>7</v>
      </c>
      <c r="Q1847" s="825">
        <f t="shared" ca="1" si="151"/>
        <v>24291.657833333335</v>
      </c>
      <c r="R1847" s="825">
        <f t="shared" ca="1" si="152"/>
        <v>24291.657833333335</v>
      </c>
      <c r="S1847" s="836" t="s">
        <v>6641</v>
      </c>
    </row>
    <row r="1848" spans="2:19" ht="60" customHeight="1" x14ac:dyDescent="0.25">
      <c r="B1848" s="864">
        <v>45652</v>
      </c>
      <c r="C1848" s="828">
        <v>45807</v>
      </c>
      <c r="D1848" s="823"/>
      <c r="E1848" s="848" t="s">
        <v>7030</v>
      </c>
      <c r="F1848" s="734" t="s">
        <v>6833</v>
      </c>
      <c r="G1848" s="761" t="s">
        <v>6637</v>
      </c>
      <c r="H1848" s="824" t="s">
        <v>28</v>
      </c>
      <c r="I1848" s="829" t="s">
        <v>6019</v>
      </c>
      <c r="J1848" s="830" t="s">
        <v>6850</v>
      </c>
      <c r="K1848" s="825">
        <v>27499.99</v>
      </c>
      <c r="L1848" s="826">
        <v>60.698799999999999</v>
      </c>
      <c r="M1848" s="825">
        <f t="shared" si="148"/>
        <v>453.05656783989144</v>
      </c>
      <c r="N1848" s="833">
        <v>60</v>
      </c>
      <c r="O1848" s="834">
        <f t="shared" si="149"/>
        <v>458.33316666666667</v>
      </c>
      <c r="P1848" s="835">
        <f t="shared" ca="1" si="150"/>
        <v>7</v>
      </c>
      <c r="Q1848" s="825">
        <f t="shared" ca="1" si="151"/>
        <v>24291.657833333335</v>
      </c>
      <c r="R1848" s="825">
        <f t="shared" ca="1" si="152"/>
        <v>24291.657833333335</v>
      </c>
      <c r="S1848" s="836" t="s">
        <v>6641</v>
      </c>
    </row>
    <row r="1849" spans="2:19" ht="60" customHeight="1" x14ac:dyDescent="0.25">
      <c r="B1849" s="864">
        <v>45652</v>
      </c>
      <c r="C1849" s="828">
        <v>45807</v>
      </c>
      <c r="D1849" s="823"/>
      <c r="E1849" s="848" t="s">
        <v>7030</v>
      </c>
      <c r="F1849" s="734" t="s">
        <v>6834</v>
      </c>
      <c r="G1849" s="761" t="s">
        <v>6637</v>
      </c>
      <c r="H1849" s="824" t="s">
        <v>28</v>
      </c>
      <c r="I1849" s="829" t="s">
        <v>6019</v>
      </c>
      <c r="J1849" s="830" t="s">
        <v>6851</v>
      </c>
      <c r="K1849" s="825">
        <v>27499.99</v>
      </c>
      <c r="L1849" s="826">
        <v>60.698799999999999</v>
      </c>
      <c r="M1849" s="825">
        <f t="shared" si="148"/>
        <v>453.05656783989144</v>
      </c>
      <c r="N1849" s="833">
        <v>60</v>
      </c>
      <c r="O1849" s="834">
        <f t="shared" si="149"/>
        <v>458.33316666666667</v>
      </c>
      <c r="P1849" s="835">
        <f t="shared" ca="1" si="150"/>
        <v>7</v>
      </c>
      <c r="Q1849" s="825">
        <f t="shared" ca="1" si="151"/>
        <v>24291.657833333335</v>
      </c>
      <c r="R1849" s="825">
        <f t="shared" ca="1" si="152"/>
        <v>24291.657833333335</v>
      </c>
      <c r="S1849" s="836" t="s">
        <v>6641</v>
      </c>
    </row>
    <row r="1850" spans="2:19" ht="60" customHeight="1" x14ac:dyDescent="0.25">
      <c r="B1850" s="864">
        <v>45652</v>
      </c>
      <c r="C1850" s="828">
        <v>45807</v>
      </c>
      <c r="D1850" s="823"/>
      <c r="E1850" s="848" t="s">
        <v>7030</v>
      </c>
      <c r="F1850" s="734" t="s">
        <v>6835</v>
      </c>
      <c r="G1850" s="761" t="s">
        <v>6637</v>
      </c>
      <c r="H1850" s="824" t="s">
        <v>28</v>
      </c>
      <c r="I1850" s="829" t="s">
        <v>6019</v>
      </c>
      <c r="J1850" s="830" t="s">
        <v>6852</v>
      </c>
      <c r="K1850" s="825">
        <v>27499.99</v>
      </c>
      <c r="L1850" s="826">
        <v>60.698799999999999</v>
      </c>
      <c r="M1850" s="825">
        <f t="shared" si="148"/>
        <v>453.05656783989144</v>
      </c>
      <c r="N1850" s="833">
        <v>60</v>
      </c>
      <c r="O1850" s="834">
        <f t="shared" si="149"/>
        <v>458.33316666666667</v>
      </c>
      <c r="P1850" s="835">
        <f t="shared" ca="1" si="150"/>
        <v>7</v>
      </c>
      <c r="Q1850" s="825">
        <f t="shared" ca="1" si="151"/>
        <v>24291.657833333335</v>
      </c>
      <c r="R1850" s="825">
        <f t="shared" ca="1" si="152"/>
        <v>24291.657833333335</v>
      </c>
      <c r="S1850" s="836" t="s">
        <v>6641</v>
      </c>
    </row>
    <row r="1851" spans="2:19" ht="60" customHeight="1" x14ac:dyDescent="0.25">
      <c r="B1851" s="864">
        <v>45652</v>
      </c>
      <c r="C1851" s="828">
        <v>45807</v>
      </c>
      <c r="D1851" s="823"/>
      <c r="E1851" s="848" t="s">
        <v>7030</v>
      </c>
      <c r="F1851" s="734" t="s">
        <v>6836</v>
      </c>
      <c r="G1851" s="761" t="s">
        <v>6637</v>
      </c>
      <c r="H1851" s="824" t="s">
        <v>28</v>
      </c>
      <c r="I1851" s="829" t="s">
        <v>6019</v>
      </c>
      <c r="J1851" s="830" t="s">
        <v>2349</v>
      </c>
      <c r="K1851" s="825">
        <v>27499.99</v>
      </c>
      <c r="L1851" s="826">
        <v>60.698799999999999</v>
      </c>
      <c r="M1851" s="825">
        <f t="shared" si="148"/>
        <v>453.05656783989144</v>
      </c>
      <c r="N1851" s="833">
        <v>60</v>
      </c>
      <c r="O1851" s="834">
        <f t="shared" si="149"/>
        <v>458.33316666666667</v>
      </c>
      <c r="P1851" s="835">
        <f t="shared" ca="1" si="150"/>
        <v>7</v>
      </c>
      <c r="Q1851" s="825">
        <f t="shared" ca="1" si="151"/>
        <v>24291.657833333335</v>
      </c>
      <c r="R1851" s="825">
        <f t="shared" ca="1" si="152"/>
        <v>24291.657833333335</v>
      </c>
      <c r="S1851" s="836" t="s">
        <v>6641</v>
      </c>
    </row>
    <row r="1852" spans="2:19" ht="60" customHeight="1" x14ac:dyDescent="0.25">
      <c r="B1852" s="864">
        <v>45652</v>
      </c>
      <c r="C1852" s="828">
        <v>45807</v>
      </c>
      <c r="D1852" s="823"/>
      <c r="E1852" s="848" t="s">
        <v>7030</v>
      </c>
      <c r="F1852" s="734" t="s">
        <v>6837</v>
      </c>
      <c r="G1852" s="761" t="s">
        <v>6637</v>
      </c>
      <c r="H1852" s="824" t="s">
        <v>28</v>
      </c>
      <c r="I1852" s="829" t="s">
        <v>6019</v>
      </c>
      <c r="J1852" s="830" t="s">
        <v>2349</v>
      </c>
      <c r="K1852" s="825">
        <v>27499.99</v>
      </c>
      <c r="L1852" s="826">
        <v>60.698799999999999</v>
      </c>
      <c r="M1852" s="825">
        <f t="shared" si="148"/>
        <v>453.05656783989144</v>
      </c>
      <c r="N1852" s="833">
        <v>60</v>
      </c>
      <c r="O1852" s="834">
        <f t="shared" si="149"/>
        <v>458.33316666666667</v>
      </c>
      <c r="P1852" s="835">
        <f t="shared" ca="1" si="150"/>
        <v>7</v>
      </c>
      <c r="Q1852" s="825">
        <f t="shared" ca="1" si="151"/>
        <v>24291.657833333335</v>
      </c>
      <c r="R1852" s="825">
        <f t="shared" ca="1" si="152"/>
        <v>24291.657833333335</v>
      </c>
      <c r="S1852" s="836" t="s">
        <v>6641</v>
      </c>
    </row>
    <row r="1853" spans="2:19" ht="59.25" customHeight="1" x14ac:dyDescent="0.25">
      <c r="B1853" s="858">
        <v>45665</v>
      </c>
      <c r="C1853" s="828">
        <v>45807</v>
      </c>
      <c r="D1853" s="679"/>
      <c r="E1853" s="848" t="s">
        <v>7042</v>
      </c>
      <c r="F1853" s="734" t="s">
        <v>7048</v>
      </c>
      <c r="G1853" s="782" t="s">
        <v>7043</v>
      </c>
      <c r="H1853" s="824" t="s">
        <v>28</v>
      </c>
      <c r="I1853" s="829" t="s">
        <v>2411</v>
      </c>
      <c r="J1853" s="779" t="s">
        <v>19</v>
      </c>
      <c r="K1853" s="778">
        <v>79717.350000000006</v>
      </c>
      <c r="L1853" s="826">
        <v>60.722200000000001</v>
      </c>
      <c r="M1853" s="825">
        <f t="shared" si="148"/>
        <v>1312.8205170431902</v>
      </c>
      <c r="N1853" s="833">
        <v>60</v>
      </c>
      <c r="O1853" s="834">
        <f t="shared" si="149"/>
        <v>1328.6225000000002</v>
      </c>
      <c r="P1853" s="790">
        <f t="shared" ca="1" si="150"/>
        <v>6</v>
      </c>
      <c r="Q1853" s="825">
        <f t="shared" ca="1" si="151"/>
        <v>71745.615000000005</v>
      </c>
      <c r="R1853" s="825">
        <f t="shared" ca="1" si="152"/>
        <v>71745.615000000005</v>
      </c>
      <c r="S1853" s="857" t="s">
        <v>7047</v>
      </c>
    </row>
    <row r="1854" spans="2:19" ht="59.25" customHeight="1" x14ac:dyDescent="0.25">
      <c r="B1854" s="858">
        <v>45665</v>
      </c>
      <c r="C1854" s="828">
        <v>45807</v>
      </c>
      <c r="D1854" s="679"/>
      <c r="E1854" s="848" t="s">
        <v>7042</v>
      </c>
      <c r="F1854" s="734" t="s">
        <v>7049</v>
      </c>
      <c r="G1854" s="782" t="s">
        <v>7043</v>
      </c>
      <c r="H1854" s="824" t="s">
        <v>28</v>
      </c>
      <c r="I1854" s="829" t="s">
        <v>2411</v>
      </c>
      <c r="J1854" s="779" t="s">
        <v>19</v>
      </c>
      <c r="K1854" s="778">
        <v>79717.350000000006</v>
      </c>
      <c r="L1854" s="826">
        <v>60.722200000000001</v>
      </c>
      <c r="M1854" s="825">
        <f t="shared" si="148"/>
        <v>1312.8205170431902</v>
      </c>
      <c r="N1854" s="833">
        <v>60</v>
      </c>
      <c r="O1854" s="834">
        <f t="shared" si="149"/>
        <v>1328.6225000000002</v>
      </c>
      <c r="P1854" s="790">
        <f t="shared" ca="1" si="150"/>
        <v>6</v>
      </c>
      <c r="Q1854" s="825">
        <f t="shared" ca="1" si="151"/>
        <v>71745.615000000005</v>
      </c>
      <c r="R1854" s="825">
        <f t="shared" ca="1" si="152"/>
        <v>71745.615000000005</v>
      </c>
      <c r="S1854" s="916" t="s">
        <v>7047</v>
      </c>
    </row>
    <row r="1855" spans="2:19" ht="59.25" customHeight="1" x14ac:dyDescent="0.25">
      <c r="B1855" s="858">
        <v>45665</v>
      </c>
      <c r="C1855" s="828">
        <v>45807</v>
      </c>
      <c r="D1855" s="679"/>
      <c r="E1855" s="848" t="s">
        <v>7042</v>
      </c>
      <c r="F1855" s="734" t="s">
        <v>7044</v>
      </c>
      <c r="G1855" s="782" t="s">
        <v>7046</v>
      </c>
      <c r="H1855" s="824" t="s">
        <v>28</v>
      </c>
      <c r="I1855" s="829" t="s">
        <v>6019</v>
      </c>
      <c r="J1855" s="779" t="s">
        <v>19</v>
      </c>
      <c r="K1855" s="778">
        <v>45602.71</v>
      </c>
      <c r="L1855" s="826">
        <v>60.722200000000001</v>
      </c>
      <c r="M1855" s="825">
        <f t="shared" si="148"/>
        <v>751.00556303954727</v>
      </c>
      <c r="N1855" s="833">
        <v>60</v>
      </c>
      <c r="O1855" s="834">
        <f t="shared" si="149"/>
        <v>760.04516666666666</v>
      </c>
      <c r="P1855" s="790">
        <f t="shared" ca="1" si="150"/>
        <v>6</v>
      </c>
      <c r="Q1855" s="825">
        <f t="shared" ca="1" si="151"/>
        <v>41042.438999999998</v>
      </c>
      <c r="R1855" s="825">
        <f t="shared" ca="1" si="152"/>
        <v>41042.438999999998</v>
      </c>
      <c r="S1855" s="916" t="s">
        <v>7047</v>
      </c>
    </row>
    <row r="1856" spans="2:19" ht="59.25" customHeight="1" x14ac:dyDescent="0.25">
      <c r="B1856" s="858">
        <v>45665</v>
      </c>
      <c r="C1856" s="828">
        <v>45807</v>
      </c>
      <c r="D1856" s="679"/>
      <c r="E1856" s="848" t="s">
        <v>7042</v>
      </c>
      <c r="F1856" s="734" t="s">
        <v>7045</v>
      </c>
      <c r="G1856" s="782" t="s">
        <v>7046</v>
      </c>
      <c r="H1856" s="824" t="s">
        <v>28</v>
      </c>
      <c r="I1856" s="829" t="s">
        <v>6019</v>
      </c>
      <c r="J1856" s="779" t="s">
        <v>19</v>
      </c>
      <c r="K1856" s="778">
        <v>45602.71</v>
      </c>
      <c r="L1856" s="826">
        <v>60.722200000000001</v>
      </c>
      <c r="M1856" s="825">
        <f t="shared" si="148"/>
        <v>751.00556303954727</v>
      </c>
      <c r="N1856" s="833">
        <v>60</v>
      </c>
      <c r="O1856" s="834">
        <f t="shared" si="149"/>
        <v>760.04516666666666</v>
      </c>
      <c r="P1856" s="790">
        <f t="shared" ca="1" si="150"/>
        <v>6</v>
      </c>
      <c r="Q1856" s="825">
        <f t="shared" ca="1" si="151"/>
        <v>41042.438999999998</v>
      </c>
      <c r="R1856" s="825">
        <f t="shared" ca="1" si="152"/>
        <v>41042.438999999998</v>
      </c>
      <c r="S1856" s="917" t="s">
        <v>7047</v>
      </c>
    </row>
    <row r="1857" spans="2:19" ht="45" customHeight="1" x14ac:dyDescent="0.25">
      <c r="B1857" s="864">
        <v>45667</v>
      </c>
      <c r="C1857" s="828">
        <v>45804</v>
      </c>
      <c r="D1857" s="823"/>
      <c r="E1857" s="848" t="s">
        <v>6988</v>
      </c>
      <c r="F1857" s="734" t="s">
        <v>6683</v>
      </c>
      <c r="G1857" s="761" t="s">
        <v>6628</v>
      </c>
      <c r="H1857" s="824" t="s">
        <v>28</v>
      </c>
      <c r="I1857" s="829" t="s">
        <v>6019</v>
      </c>
      <c r="J1857" s="830" t="s">
        <v>6225</v>
      </c>
      <c r="K1857" s="825">
        <v>92654</v>
      </c>
      <c r="L1857" s="826">
        <v>60.722200000000001</v>
      </c>
      <c r="M1857" s="825">
        <f t="shared" si="147"/>
        <v>1525.8669811041102</v>
      </c>
      <c r="N1857" s="833">
        <v>60</v>
      </c>
      <c r="O1857" s="834">
        <f t="shared" si="143"/>
        <v>1544.2333333333333</v>
      </c>
      <c r="P1857" s="835">
        <f t="shared" ca="1" si="145"/>
        <v>6</v>
      </c>
      <c r="Q1857" s="825">
        <f t="shared" ca="1" si="144"/>
        <v>83388.600000000006</v>
      </c>
      <c r="R1857" s="825">
        <f t="shared" ca="1" si="146"/>
        <v>83388.600000000006</v>
      </c>
      <c r="S1857" s="836" t="s">
        <v>6640</v>
      </c>
    </row>
    <row r="1858" spans="2:19" ht="45" customHeight="1" x14ac:dyDescent="0.25">
      <c r="B1858" s="864">
        <v>45667</v>
      </c>
      <c r="C1858" s="828">
        <v>45804</v>
      </c>
      <c r="D1858" s="823"/>
      <c r="E1858" s="848" t="s">
        <v>6988</v>
      </c>
      <c r="F1858" s="734" t="s">
        <v>6684</v>
      </c>
      <c r="G1858" s="761" t="s">
        <v>6628</v>
      </c>
      <c r="H1858" s="824" t="s">
        <v>28</v>
      </c>
      <c r="I1858" s="829" t="s">
        <v>6019</v>
      </c>
      <c r="J1858" s="830" t="s">
        <v>6225</v>
      </c>
      <c r="K1858" s="825">
        <v>92654</v>
      </c>
      <c r="L1858" s="826">
        <v>60.722200000000001</v>
      </c>
      <c r="M1858" s="825">
        <f t="shared" si="147"/>
        <v>1525.8669811041102</v>
      </c>
      <c r="N1858" s="833">
        <v>60</v>
      </c>
      <c r="O1858" s="834">
        <f t="shared" si="143"/>
        <v>1544.2333333333333</v>
      </c>
      <c r="P1858" s="835">
        <f t="shared" ca="1" si="145"/>
        <v>6</v>
      </c>
      <c r="Q1858" s="825">
        <f t="shared" ca="1" si="144"/>
        <v>83388.600000000006</v>
      </c>
      <c r="R1858" s="825">
        <f t="shared" ca="1" si="146"/>
        <v>83388.600000000006</v>
      </c>
      <c r="S1858" s="836" t="s">
        <v>6640</v>
      </c>
    </row>
    <row r="1859" spans="2:19" ht="45" customHeight="1" x14ac:dyDescent="0.25">
      <c r="B1859" s="864">
        <v>45667</v>
      </c>
      <c r="C1859" s="828">
        <v>45804</v>
      </c>
      <c r="D1859" s="823"/>
      <c r="E1859" s="848" t="s">
        <v>6988</v>
      </c>
      <c r="F1859" s="734" t="s">
        <v>6685</v>
      </c>
      <c r="G1859" s="761" t="s">
        <v>6628</v>
      </c>
      <c r="H1859" s="824" t="s">
        <v>28</v>
      </c>
      <c r="I1859" s="829" t="s">
        <v>6019</v>
      </c>
      <c r="J1859" s="830" t="s">
        <v>6225</v>
      </c>
      <c r="K1859" s="825">
        <v>92654</v>
      </c>
      <c r="L1859" s="826">
        <v>60.722200000000001</v>
      </c>
      <c r="M1859" s="825">
        <f t="shared" si="147"/>
        <v>1525.8669811041102</v>
      </c>
      <c r="N1859" s="833">
        <v>60</v>
      </c>
      <c r="O1859" s="834">
        <f t="shared" si="143"/>
        <v>1544.2333333333333</v>
      </c>
      <c r="P1859" s="835">
        <f t="shared" ca="1" si="145"/>
        <v>6</v>
      </c>
      <c r="Q1859" s="825">
        <f t="shared" ca="1" si="144"/>
        <v>83388.600000000006</v>
      </c>
      <c r="R1859" s="825">
        <f t="shared" ca="1" si="146"/>
        <v>83388.600000000006</v>
      </c>
      <c r="S1859" s="836" t="s">
        <v>6640</v>
      </c>
    </row>
    <row r="1860" spans="2:19" ht="45" customHeight="1" x14ac:dyDescent="0.25">
      <c r="B1860" s="864">
        <v>45667</v>
      </c>
      <c r="C1860" s="828">
        <v>45804</v>
      </c>
      <c r="D1860" s="823"/>
      <c r="E1860" s="848" t="s">
        <v>6988</v>
      </c>
      <c r="F1860" s="734" t="s">
        <v>6686</v>
      </c>
      <c r="G1860" s="761" t="s">
        <v>6628</v>
      </c>
      <c r="H1860" s="824" t="s">
        <v>28</v>
      </c>
      <c r="I1860" s="829" t="s">
        <v>6019</v>
      </c>
      <c r="J1860" s="830" t="s">
        <v>6225</v>
      </c>
      <c r="K1860" s="825">
        <v>92654</v>
      </c>
      <c r="L1860" s="826">
        <v>60.722200000000001</v>
      </c>
      <c r="M1860" s="825">
        <f t="shared" si="147"/>
        <v>1525.8669811041102</v>
      </c>
      <c r="N1860" s="833">
        <v>60</v>
      </c>
      <c r="O1860" s="834">
        <f t="shared" ref="O1860:O1923" si="153">+K1860/N1860</f>
        <v>1544.2333333333333</v>
      </c>
      <c r="P1860" s="835">
        <f t="shared" ca="1" si="145"/>
        <v>6</v>
      </c>
      <c r="Q1860" s="825">
        <f t="shared" ca="1" si="144"/>
        <v>83388.600000000006</v>
      </c>
      <c r="R1860" s="825">
        <f t="shared" ca="1" si="146"/>
        <v>83388.600000000006</v>
      </c>
      <c r="S1860" s="836" t="s">
        <v>6640</v>
      </c>
    </row>
    <row r="1861" spans="2:19" ht="45" customHeight="1" x14ac:dyDescent="0.25">
      <c r="B1861" s="864">
        <v>45667</v>
      </c>
      <c r="C1861" s="828">
        <v>45804</v>
      </c>
      <c r="D1861" s="823"/>
      <c r="E1861" s="848" t="s">
        <v>6988</v>
      </c>
      <c r="F1861" s="734" t="s">
        <v>6687</v>
      </c>
      <c r="G1861" s="761" t="s">
        <v>6628</v>
      </c>
      <c r="H1861" s="824" t="s">
        <v>28</v>
      </c>
      <c r="I1861" s="829" t="s">
        <v>6019</v>
      </c>
      <c r="J1861" s="830" t="s">
        <v>6225</v>
      </c>
      <c r="K1861" s="825">
        <v>92654</v>
      </c>
      <c r="L1861" s="826">
        <v>60.722200000000001</v>
      </c>
      <c r="M1861" s="825">
        <f t="shared" si="147"/>
        <v>1525.8669811041102</v>
      </c>
      <c r="N1861" s="833">
        <v>60</v>
      </c>
      <c r="O1861" s="834">
        <f t="shared" si="153"/>
        <v>1544.2333333333333</v>
      </c>
      <c r="P1861" s="835">
        <f t="shared" ca="1" si="145"/>
        <v>6</v>
      </c>
      <c r="Q1861" s="825">
        <f t="shared" ca="1" si="144"/>
        <v>83388.600000000006</v>
      </c>
      <c r="R1861" s="825">
        <f t="shared" ca="1" si="146"/>
        <v>83388.600000000006</v>
      </c>
      <c r="S1861" s="836" t="s">
        <v>6640</v>
      </c>
    </row>
    <row r="1862" spans="2:19" ht="45" customHeight="1" x14ac:dyDescent="0.25">
      <c r="B1862" s="864">
        <v>45667</v>
      </c>
      <c r="C1862" s="828">
        <v>45804</v>
      </c>
      <c r="D1862" s="823"/>
      <c r="E1862" s="848" t="s">
        <v>6988</v>
      </c>
      <c r="F1862" s="734" t="s">
        <v>6688</v>
      </c>
      <c r="G1862" s="761" t="s">
        <v>6628</v>
      </c>
      <c r="H1862" s="824" t="s">
        <v>28</v>
      </c>
      <c r="I1862" s="829" t="s">
        <v>6019</v>
      </c>
      <c r="J1862" s="830" t="s">
        <v>6225</v>
      </c>
      <c r="K1862" s="825">
        <v>92654</v>
      </c>
      <c r="L1862" s="826">
        <v>60.722200000000001</v>
      </c>
      <c r="M1862" s="825">
        <f t="shared" si="147"/>
        <v>1525.8669811041102</v>
      </c>
      <c r="N1862" s="833">
        <v>60</v>
      </c>
      <c r="O1862" s="834">
        <f t="shared" si="153"/>
        <v>1544.2333333333333</v>
      </c>
      <c r="P1862" s="835">
        <f t="shared" ca="1" si="145"/>
        <v>6</v>
      </c>
      <c r="Q1862" s="825">
        <f t="shared" ca="1" si="144"/>
        <v>83388.600000000006</v>
      </c>
      <c r="R1862" s="825">
        <f t="shared" ca="1" si="146"/>
        <v>83388.600000000006</v>
      </c>
      <c r="S1862" s="836" t="s">
        <v>6640</v>
      </c>
    </row>
    <row r="1863" spans="2:19" ht="45" customHeight="1" x14ac:dyDescent="0.25">
      <c r="B1863" s="864">
        <v>45667</v>
      </c>
      <c r="C1863" s="828">
        <v>45804</v>
      </c>
      <c r="D1863" s="823"/>
      <c r="E1863" s="848" t="s">
        <v>6988</v>
      </c>
      <c r="F1863" s="734" t="s">
        <v>6689</v>
      </c>
      <c r="G1863" s="761" t="s">
        <v>6628</v>
      </c>
      <c r="H1863" s="824" t="s">
        <v>28</v>
      </c>
      <c r="I1863" s="829" t="s">
        <v>6019</v>
      </c>
      <c r="J1863" s="830" t="s">
        <v>6225</v>
      </c>
      <c r="K1863" s="825">
        <v>92654</v>
      </c>
      <c r="L1863" s="826">
        <v>60.722200000000001</v>
      </c>
      <c r="M1863" s="825">
        <f t="shared" si="147"/>
        <v>1525.8669811041102</v>
      </c>
      <c r="N1863" s="833">
        <v>60</v>
      </c>
      <c r="O1863" s="834">
        <f t="shared" si="153"/>
        <v>1544.2333333333333</v>
      </c>
      <c r="P1863" s="835">
        <f t="shared" ca="1" si="145"/>
        <v>6</v>
      </c>
      <c r="Q1863" s="825">
        <f t="shared" ca="1" si="144"/>
        <v>83388.600000000006</v>
      </c>
      <c r="R1863" s="825">
        <f t="shared" ca="1" si="146"/>
        <v>83388.600000000006</v>
      </c>
      <c r="S1863" s="836" t="s">
        <v>6640</v>
      </c>
    </row>
    <row r="1864" spans="2:19" ht="45" customHeight="1" x14ac:dyDescent="0.25">
      <c r="B1864" s="864">
        <v>45667</v>
      </c>
      <c r="C1864" s="828">
        <v>45804</v>
      </c>
      <c r="D1864" s="823"/>
      <c r="E1864" s="848" t="s">
        <v>6988</v>
      </c>
      <c r="F1864" s="734" t="s">
        <v>6673</v>
      </c>
      <c r="G1864" s="761" t="s">
        <v>6625</v>
      </c>
      <c r="H1864" s="824" t="s">
        <v>28</v>
      </c>
      <c r="I1864" s="829" t="s">
        <v>6019</v>
      </c>
      <c r="J1864" s="830" t="s">
        <v>6225</v>
      </c>
      <c r="K1864" s="825">
        <v>3220</v>
      </c>
      <c r="L1864" s="826">
        <v>60.722200000000001</v>
      </c>
      <c r="M1864" s="825">
        <f t="shared" si="147"/>
        <v>53.028381712125054</v>
      </c>
      <c r="N1864" s="833">
        <v>60</v>
      </c>
      <c r="O1864" s="834">
        <f t="shared" si="153"/>
        <v>53.666666666666664</v>
      </c>
      <c r="P1864" s="835">
        <f t="shared" ca="1" si="145"/>
        <v>6</v>
      </c>
      <c r="Q1864" s="825">
        <f t="shared" ca="1" si="144"/>
        <v>2898</v>
      </c>
      <c r="R1864" s="825">
        <f t="shared" ca="1" si="146"/>
        <v>2898</v>
      </c>
      <c r="S1864" s="836" t="s">
        <v>6640</v>
      </c>
    </row>
    <row r="1865" spans="2:19" ht="45" customHeight="1" x14ac:dyDescent="0.25">
      <c r="B1865" s="864">
        <v>45667</v>
      </c>
      <c r="C1865" s="828">
        <v>45804</v>
      </c>
      <c r="D1865" s="823"/>
      <c r="E1865" s="848" t="s">
        <v>6988</v>
      </c>
      <c r="F1865" s="734" t="s">
        <v>6674</v>
      </c>
      <c r="G1865" s="761" t="s">
        <v>6625</v>
      </c>
      <c r="H1865" s="824" t="s">
        <v>28</v>
      </c>
      <c r="I1865" s="829" t="s">
        <v>6019</v>
      </c>
      <c r="J1865" s="830" t="s">
        <v>6225</v>
      </c>
      <c r="K1865" s="825">
        <v>3220</v>
      </c>
      <c r="L1865" s="826">
        <v>60.722200000000001</v>
      </c>
      <c r="M1865" s="825">
        <f t="shared" si="147"/>
        <v>53.028381712125054</v>
      </c>
      <c r="N1865" s="833">
        <v>60</v>
      </c>
      <c r="O1865" s="834">
        <f t="shared" si="153"/>
        <v>53.666666666666664</v>
      </c>
      <c r="P1865" s="835">
        <f t="shared" ca="1" si="145"/>
        <v>6</v>
      </c>
      <c r="Q1865" s="825">
        <f t="shared" ca="1" si="144"/>
        <v>2898</v>
      </c>
      <c r="R1865" s="825">
        <f t="shared" ca="1" si="146"/>
        <v>2898</v>
      </c>
      <c r="S1865" s="836" t="s">
        <v>6640</v>
      </c>
    </row>
    <row r="1866" spans="2:19" ht="45" customHeight="1" x14ac:dyDescent="0.25">
      <c r="B1866" s="864">
        <v>45667</v>
      </c>
      <c r="C1866" s="828">
        <v>45804</v>
      </c>
      <c r="D1866" s="823"/>
      <c r="E1866" s="848" t="s">
        <v>6988</v>
      </c>
      <c r="F1866" s="734" t="s">
        <v>6675</v>
      </c>
      <c r="G1866" s="761" t="s">
        <v>6625</v>
      </c>
      <c r="H1866" s="824" t="s">
        <v>28</v>
      </c>
      <c r="I1866" s="829" t="s">
        <v>6019</v>
      </c>
      <c r="J1866" s="830" t="s">
        <v>6225</v>
      </c>
      <c r="K1866" s="825">
        <v>3220</v>
      </c>
      <c r="L1866" s="826">
        <v>60.722200000000001</v>
      </c>
      <c r="M1866" s="825">
        <f t="shared" si="147"/>
        <v>53.028381712125054</v>
      </c>
      <c r="N1866" s="833">
        <v>60</v>
      </c>
      <c r="O1866" s="834">
        <f t="shared" si="153"/>
        <v>53.666666666666664</v>
      </c>
      <c r="P1866" s="835">
        <f t="shared" ca="1" si="145"/>
        <v>6</v>
      </c>
      <c r="Q1866" s="825">
        <f t="shared" ca="1" si="144"/>
        <v>2898</v>
      </c>
      <c r="R1866" s="825">
        <f t="shared" ca="1" si="146"/>
        <v>2898</v>
      </c>
      <c r="S1866" s="836" t="s">
        <v>6640</v>
      </c>
    </row>
    <row r="1867" spans="2:19" ht="45" customHeight="1" x14ac:dyDescent="0.25">
      <c r="B1867" s="864">
        <v>45667</v>
      </c>
      <c r="C1867" s="828">
        <v>45804</v>
      </c>
      <c r="D1867" s="823"/>
      <c r="E1867" s="848" t="s">
        <v>6988</v>
      </c>
      <c r="F1867" s="734" t="s">
        <v>6695</v>
      </c>
      <c r="G1867" s="761" t="s">
        <v>6630</v>
      </c>
      <c r="H1867" s="824" t="s">
        <v>28</v>
      </c>
      <c r="I1867" s="829" t="s">
        <v>6019</v>
      </c>
      <c r="J1867" s="830" t="s">
        <v>6225</v>
      </c>
      <c r="K1867" s="825">
        <v>33182</v>
      </c>
      <c r="L1867" s="826">
        <v>60.722200000000001</v>
      </c>
      <c r="M1867" s="825">
        <f t="shared" si="147"/>
        <v>546.45582669929615</v>
      </c>
      <c r="N1867" s="833">
        <v>60</v>
      </c>
      <c r="O1867" s="834">
        <f t="shared" si="153"/>
        <v>553.0333333333333</v>
      </c>
      <c r="P1867" s="835">
        <f t="shared" ca="1" si="145"/>
        <v>6</v>
      </c>
      <c r="Q1867" s="825">
        <f t="shared" ca="1" si="144"/>
        <v>29863.8</v>
      </c>
      <c r="R1867" s="825">
        <f t="shared" ca="1" si="146"/>
        <v>29863.8</v>
      </c>
      <c r="S1867" s="836" t="s">
        <v>6640</v>
      </c>
    </row>
    <row r="1868" spans="2:19" ht="45" customHeight="1" x14ac:dyDescent="0.25">
      <c r="B1868" s="864">
        <v>45667</v>
      </c>
      <c r="C1868" s="828">
        <v>45804</v>
      </c>
      <c r="D1868" s="823"/>
      <c r="E1868" s="848" t="s">
        <v>6988</v>
      </c>
      <c r="F1868" s="734" t="s">
        <v>6696</v>
      </c>
      <c r="G1868" s="761" t="s">
        <v>6630</v>
      </c>
      <c r="H1868" s="824" t="s">
        <v>28</v>
      </c>
      <c r="I1868" s="829" t="s">
        <v>6019</v>
      </c>
      <c r="J1868" s="830" t="s">
        <v>6225</v>
      </c>
      <c r="K1868" s="825">
        <v>33182</v>
      </c>
      <c r="L1868" s="826">
        <v>60.722200000000001</v>
      </c>
      <c r="M1868" s="825">
        <f t="shared" si="147"/>
        <v>546.45582669929615</v>
      </c>
      <c r="N1868" s="833">
        <v>60</v>
      </c>
      <c r="O1868" s="834">
        <f t="shared" si="153"/>
        <v>553.0333333333333</v>
      </c>
      <c r="P1868" s="835">
        <f t="shared" ca="1" si="145"/>
        <v>6</v>
      </c>
      <c r="Q1868" s="825">
        <f t="shared" ca="1" si="144"/>
        <v>29863.8</v>
      </c>
      <c r="R1868" s="825">
        <f t="shared" ca="1" si="146"/>
        <v>29863.8</v>
      </c>
      <c r="S1868" s="836" t="s">
        <v>6640</v>
      </c>
    </row>
    <row r="1869" spans="2:19" ht="45" customHeight="1" x14ac:dyDescent="0.25">
      <c r="B1869" s="864">
        <v>45667</v>
      </c>
      <c r="C1869" s="828">
        <v>45804</v>
      </c>
      <c r="D1869" s="823"/>
      <c r="E1869" s="848" t="s">
        <v>6988</v>
      </c>
      <c r="F1869" s="734" t="s">
        <v>6697</v>
      </c>
      <c r="G1869" s="761" t="s">
        <v>6630</v>
      </c>
      <c r="H1869" s="824" t="s">
        <v>28</v>
      </c>
      <c r="I1869" s="829" t="s">
        <v>6019</v>
      </c>
      <c r="J1869" s="830" t="s">
        <v>6225</v>
      </c>
      <c r="K1869" s="825">
        <v>33182</v>
      </c>
      <c r="L1869" s="826">
        <v>60.722200000000001</v>
      </c>
      <c r="M1869" s="825">
        <f t="shared" si="147"/>
        <v>546.45582669929615</v>
      </c>
      <c r="N1869" s="833">
        <v>60</v>
      </c>
      <c r="O1869" s="834">
        <f t="shared" si="153"/>
        <v>553.0333333333333</v>
      </c>
      <c r="P1869" s="835">
        <f t="shared" ca="1" si="145"/>
        <v>6</v>
      </c>
      <c r="Q1869" s="825">
        <f t="shared" ca="1" si="144"/>
        <v>29863.8</v>
      </c>
      <c r="R1869" s="825">
        <f t="shared" ca="1" si="146"/>
        <v>29863.8</v>
      </c>
      <c r="S1869" s="836" t="s">
        <v>6640</v>
      </c>
    </row>
    <row r="1870" spans="2:19" ht="45" customHeight="1" x14ac:dyDescent="0.25">
      <c r="B1870" s="864">
        <v>45667</v>
      </c>
      <c r="C1870" s="828">
        <v>45804</v>
      </c>
      <c r="D1870" s="823"/>
      <c r="E1870" s="848" t="s">
        <v>6988</v>
      </c>
      <c r="F1870" s="734" t="s">
        <v>6698</v>
      </c>
      <c r="G1870" s="761" t="s">
        <v>6630</v>
      </c>
      <c r="H1870" s="824" t="s">
        <v>28</v>
      </c>
      <c r="I1870" s="829" t="s">
        <v>6019</v>
      </c>
      <c r="J1870" s="830" t="s">
        <v>6225</v>
      </c>
      <c r="K1870" s="825">
        <v>33182</v>
      </c>
      <c r="L1870" s="826">
        <v>60.722200000000001</v>
      </c>
      <c r="M1870" s="825">
        <f t="shared" si="147"/>
        <v>546.45582669929615</v>
      </c>
      <c r="N1870" s="833">
        <v>60</v>
      </c>
      <c r="O1870" s="834">
        <f t="shared" si="153"/>
        <v>553.0333333333333</v>
      </c>
      <c r="P1870" s="835">
        <f t="shared" ca="1" si="145"/>
        <v>6</v>
      </c>
      <c r="Q1870" s="825">
        <f t="shared" ca="1" si="144"/>
        <v>29863.8</v>
      </c>
      <c r="R1870" s="825">
        <f t="shared" ca="1" si="146"/>
        <v>29863.8</v>
      </c>
      <c r="S1870" s="836" t="s">
        <v>6640</v>
      </c>
    </row>
    <row r="1871" spans="2:19" ht="45" customHeight="1" x14ac:dyDescent="0.25">
      <c r="B1871" s="864">
        <v>45667</v>
      </c>
      <c r="C1871" s="828">
        <v>45804</v>
      </c>
      <c r="D1871" s="823"/>
      <c r="E1871" s="848" t="s">
        <v>6988</v>
      </c>
      <c r="F1871" s="734" t="s">
        <v>6699</v>
      </c>
      <c r="G1871" s="761" t="s">
        <v>6630</v>
      </c>
      <c r="H1871" s="824" t="s">
        <v>28</v>
      </c>
      <c r="I1871" s="829" t="s">
        <v>6019</v>
      </c>
      <c r="J1871" s="830" t="s">
        <v>6225</v>
      </c>
      <c r="K1871" s="825">
        <v>33182</v>
      </c>
      <c r="L1871" s="826">
        <v>60.722200000000001</v>
      </c>
      <c r="M1871" s="825">
        <f t="shared" si="147"/>
        <v>546.45582669929615</v>
      </c>
      <c r="N1871" s="833">
        <v>60</v>
      </c>
      <c r="O1871" s="834">
        <f t="shared" si="153"/>
        <v>553.0333333333333</v>
      </c>
      <c r="P1871" s="835">
        <f t="shared" ca="1" si="145"/>
        <v>6</v>
      </c>
      <c r="Q1871" s="825">
        <f t="shared" ca="1" si="144"/>
        <v>29863.8</v>
      </c>
      <c r="R1871" s="825">
        <f t="shared" ca="1" si="146"/>
        <v>29863.8</v>
      </c>
      <c r="S1871" s="836" t="s">
        <v>6640</v>
      </c>
    </row>
    <row r="1872" spans="2:19" ht="45" customHeight="1" x14ac:dyDescent="0.25">
      <c r="B1872" s="864">
        <v>45667</v>
      </c>
      <c r="C1872" s="828">
        <v>45804</v>
      </c>
      <c r="D1872" s="823"/>
      <c r="E1872" s="848" t="s">
        <v>6988</v>
      </c>
      <c r="F1872" s="734" t="s">
        <v>6700</v>
      </c>
      <c r="G1872" s="761" t="s">
        <v>6630</v>
      </c>
      <c r="H1872" s="824" t="s">
        <v>28</v>
      </c>
      <c r="I1872" s="829" t="s">
        <v>6019</v>
      </c>
      <c r="J1872" s="830" t="s">
        <v>6225</v>
      </c>
      <c r="K1872" s="825">
        <v>33182</v>
      </c>
      <c r="L1872" s="826">
        <v>60.722200000000001</v>
      </c>
      <c r="M1872" s="825">
        <f t="shared" si="147"/>
        <v>546.45582669929615</v>
      </c>
      <c r="N1872" s="833">
        <v>60</v>
      </c>
      <c r="O1872" s="834">
        <f t="shared" si="153"/>
        <v>553.0333333333333</v>
      </c>
      <c r="P1872" s="835">
        <f t="shared" ca="1" si="145"/>
        <v>6</v>
      </c>
      <c r="Q1872" s="825">
        <f t="shared" ca="1" si="144"/>
        <v>29863.8</v>
      </c>
      <c r="R1872" s="825">
        <f t="shared" ca="1" si="146"/>
        <v>29863.8</v>
      </c>
      <c r="S1872" s="836" t="s">
        <v>6640</v>
      </c>
    </row>
    <row r="1873" spans="2:19" ht="45" customHeight="1" x14ac:dyDescent="0.25">
      <c r="B1873" s="864">
        <v>45667</v>
      </c>
      <c r="C1873" s="828">
        <v>45804</v>
      </c>
      <c r="D1873" s="823"/>
      <c r="E1873" s="848" t="s">
        <v>6988</v>
      </c>
      <c r="F1873" s="734" t="s">
        <v>6701</v>
      </c>
      <c r="G1873" s="761" t="s">
        <v>6630</v>
      </c>
      <c r="H1873" s="824" t="s">
        <v>28</v>
      </c>
      <c r="I1873" s="829" t="s">
        <v>6019</v>
      </c>
      <c r="J1873" s="830" t="s">
        <v>6225</v>
      </c>
      <c r="K1873" s="825">
        <v>33182</v>
      </c>
      <c r="L1873" s="826">
        <v>60.722200000000001</v>
      </c>
      <c r="M1873" s="825">
        <f t="shared" si="147"/>
        <v>546.45582669929615</v>
      </c>
      <c r="N1873" s="833">
        <v>60</v>
      </c>
      <c r="O1873" s="834">
        <f t="shared" si="153"/>
        <v>553.0333333333333</v>
      </c>
      <c r="P1873" s="835">
        <f t="shared" ca="1" si="145"/>
        <v>6</v>
      </c>
      <c r="Q1873" s="825">
        <f t="shared" ref="Q1873:Q1936" ca="1" si="154">IF(OR(K1873=0,N1873=0,P1873=0),0,K1873-(O1873*P1873))</f>
        <v>29863.8</v>
      </c>
      <c r="R1873" s="825">
        <f t="shared" ca="1" si="146"/>
        <v>29863.8</v>
      </c>
      <c r="S1873" s="836" t="s">
        <v>6640</v>
      </c>
    </row>
    <row r="1874" spans="2:19" ht="45" customHeight="1" x14ac:dyDescent="0.25">
      <c r="B1874" s="864">
        <v>45667</v>
      </c>
      <c r="C1874" s="828">
        <v>45804</v>
      </c>
      <c r="D1874" s="823"/>
      <c r="E1874" s="848" t="s">
        <v>6988</v>
      </c>
      <c r="F1874" s="734" t="s">
        <v>6702</v>
      </c>
      <c r="G1874" s="761" t="s">
        <v>6630</v>
      </c>
      <c r="H1874" s="824" t="s">
        <v>28</v>
      </c>
      <c r="I1874" s="829" t="s">
        <v>6019</v>
      </c>
      <c r="J1874" s="830" t="s">
        <v>6225</v>
      </c>
      <c r="K1874" s="825">
        <v>33182</v>
      </c>
      <c r="L1874" s="826">
        <v>60.722200000000001</v>
      </c>
      <c r="M1874" s="825">
        <f t="shared" si="147"/>
        <v>546.45582669929615</v>
      </c>
      <c r="N1874" s="833">
        <v>60</v>
      </c>
      <c r="O1874" s="834">
        <f t="shared" si="153"/>
        <v>553.0333333333333</v>
      </c>
      <c r="P1874" s="835">
        <f t="shared" ca="1" si="145"/>
        <v>6</v>
      </c>
      <c r="Q1874" s="825">
        <f t="shared" ca="1" si="154"/>
        <v>29863.8</v>
      </c>
      <c r="R1874" s="825">
        <f t="shared" ca="1" si="146"/>
        <v>29863.8</v>
      </c>
      <c r="S1874" s="836" t="s">
        <v>6640</v>
      </c>
    </row>
    <row r="1875" spans="2:19" ht="45" customHeight="1" x14ac:dyDescent="0.25">
      <c r="B1875" s="864">
        <v>45667</v>
      </c>
      <c r="C1875" s="828">
        <v>45804</v>
      </c>
      <c r="D1875" s="823"/>
      <c r="E1875" s="848" t="s">
        <v>6988</v>
      </c>
      <c r="F1875" s="734" t="s">
        <v>6703</v>
      </c>
      <c r="G1875" s="761" t="s">
        <v>6630</v>
      </c>
      <c r="H1875" s="824" t="s">
        <v>28</v>
      </c>
      <c r="I1875" s="829" t="s">
        <v>6019</v>
      </c>
      <c r="J1875" s="830" t="s">
        <v>6225</v>
      </c>
      <c r="K1875" s="825">
        <v>33182</v>
      </c>
      <c r="L1875" s="826">
        <v>60.722200000000001</v>
      </c>
      <c r="M1875" s="825">
        <f t="shared" si="147"/>
        <v>546.45582669929615</v>
      </c>
      <c r="N1875" s="833">
        <v>60</v>
      </c>
      <c r="O1875" s="834">
        <f t="shared" si="153"/>
        <v>553.0333333333333</v>
      </c>
      <c r="P1875" s="835">
        <f t="shared" ca="1" si="145"/>
        <v>6</v>
      </c>
      <c r="Q1875" s="825">
        <f t="shared" ca="1" si="154"/>
        <v>29863.8</v>
      </c>
      <c r="R1875" s="825">
        <f t="shared" ca="1" si="146"/>
        <v>29863.8</v>
      </c>
      <c r="S1875" s="836" t="s">
        <v>6640</v>
      </c>
    </row>
    <row r="1876" spans="2:19" ht="45" customHeight="1" x14ac:dyDescent="0.25">
      <c r="B1876" s="864">
        <v>45667</v>
      </c>
      <c r="C1876" s="828">
        <v>45804</v>
      </c>
      <c r="D1876" s="823"/>
      <c r="E1876" s="848" t="s">
        <v>6988</v>
      </c>
      <c r="F1876" s="734" t="s">
        <v>6704</v>
      </c>
      <c r="G1876" s="761" t="s">
        <v>6630</v>
      </c>
      <c r="H1876" s="824" t="s">
        <v>28</v>
      </c>
      <c r="I1876" s="829" t="s">
        <v>6019</v>
      </c>
      <c r="J1876" s="830" t="s">
        <v>6225</v>
      </c>
      <c r="K1876" s="825">
        <v>33182</v>
      </c>
      <c r="L1876" s="826">
        <v>60.722200000000001</v>
      </c>
      <c r="M1876" s="825">
        <f t="shared" si="147"/>
        <v>546.45582669929615</v>
      </c>
      <c r="N1876" s="833">
        <v>60</v>
      </c>
      <c r="O1876" s="834">
        <f t="shared" si="153"/>
        <v>553.0333333333333</v>
      </c>
      <c r="P1876" s="835">
        <f t="shared" ca="1" si="145"/>
        <v>6</v>
      </c>
      <c r="Q1876" s="825">
        <f t="shared" ca="1" si="154"/>
        <v>29863.8</v>
      </c>
      <c r="R1876" s="825">
        <f t="shared" ca="1" si="146"/>
        <v>29863.8</v>
      </c>
      <c r="S1876" s="836" t="s">
        <v>6640</v>
      </c>
    </row>
    <row r="1877" spans="2:19" ht="45" customHeight="1" x14ac:dyDescent="0.25">
      <c r="B1877" s="864">
        <v>45667</v>
      </c>
      <c r="C1877" s="828">
        <v>45804</v>
      </c>
      <c r="D1877" s="823"/>
      <c r="E1877" s="848" t="s">
        <v>6988</v>
      </c>
      <c r="F1877" s="734" t="s">
        <v>6705</v>
      </c>
      <c r="G1877" s="761" t="s">
        <v>6630</v>
      </c>
      <c r="H1877" s="824" t="s">
        <v>28</v>
      </c>
      <c r="I1877" s="829" t="s">
        <v>6019</v>
      </c>
      <c r="J1877" s="830" t="s">
        <v>6225</v>
      </c>
      <c r="K1877" s="825">
        <v>33182</v>
      </c>
      <c r="L1877" s="826">
        <v>60.722200000000001</v>
      </c>
      <c r="M1877" s="825">
        <f t="shared" si="147"/>
        <v>546.45582669929615</v>
      </c>
      <c r="N1877" s="833">
        <v>60</v>
      </c>
      <c r="O1877" s="834">
        <f t="shared" si="153"/>
        <v>553.0333333333333</v>
      </c>
      <c r="P1877" s="835">
        <f t="shared" ca="1" si="145"/>
        <v>6</v>
      </c>
      <c r="Q1877" s="825">
        <f t="shared" ca="1" si="154"/>
        <v>29863.8</v>
      </c>
      <c r="R1877" s="825">
        <f t="shared" ca="1" si="146"/>
        <v>29863.8</v>
      </c>
      <c r="S1877" s="836" t="s">
        <v>6640</v>
      </c>
    </row>
    <row r="1878" spans="2:19" ht="45" customHeight="1" x14ac:dyDescent="0.25">
      <c r="B1878" s="864">
        <v>45667</v>
      </c>
      <c r="C1878" s="828">
        <v>45804</v>
      </c>
      <c r="D1878" s="823"/>
      <c r="E1878" s="848" t="s">
        <v>6988</v>
      </c>
      <c r="F1878" s="734" t="s">
        <v>6706</v>
      </c>
      <c r="G1878" s="761" t="s">
        <v>6630</v>
      </c>
      <c r="H1878" s="824" t="s">
        <v>28</v>
      </c>
      <c r="I1878" s="829" t="s">
        <v>6019</v>
      </c>
      <c r="J1878" s="830" t="s">
        <v>6225</v>
      </c>
      <c r="K1878" s="825">
        <v>33182</v>
      </c>
      <c r="L1878" s="826">
        <v>60.722200000000001</v>
      </c>
      <c r="M1878" s="825">
        <f t="shared" si="147"/>
        <v>546.45582669929615</v>
      </c>
      <c r="N1878" s="833">
        <v>60</v>
      </c>
      <c r="O1878" s="834">
        <f t="shared" si="153"/>
        <v>553.0333333333333</v>
      </c>
      <c r="P1878" s="835">
        <f t="shared" ca="1" si="145"/>
        <v>6</v>
      </c>
      <c r="Q1878" s="825">
        <f t="shared" ca="1" si="154"/>
        <v>29863.8</v>
      </c>
      <c r="R1878" s="825">
        <f t="shared" ca="1" si="146"/>
        <v>29863.8</v>
      </c>
      <c r="S1878" s="836" t="s">
        <v>6640</v>
      </c>
    </row>
    <row r="1879" spans="2:19" ht="45" customHeight="1" x14ac:dyDescent="0.25">
      <c r="B1879" s="864">
        <v>45667</v>
      </c>
      <c r="C1879" s="828">
        <v>45804</v>
      </c>
      <c r="D1879" s="823"/>
      <c r="E1879" s="848" t="s">
        <v>6988</v>
      </c>
      <c r="F1879" s="734" t="s">
        <v>6707</v>
      </c>
      <c r="G1879" s="761" t="s">
        <v>6630</v>
      </c>
      <c r="H1879" s="824" t="s">
        <v>28</v>
      </c>
      <c r="I1879" s="829" t="s">
        <v>6019</v>
      </c>
      <c r="J1879" s="830" t="s">
        <v>6225</v>
      </c>
      <c r="K1879" s="825">
        <v>33182</v>
      </c>
      <c r="L1879" s="826">
        <v>60.722200000000001</v>
      </c>
      <c r="M1879" s="825">
        <f t="shared" si="147"/>
        <v>546.45582669929615</v>
      </c>
      <c r="N1879" s="833">
        <v>60</v>
      </c>
      <c r="O1879" s="834">
        <f t="shared" si="153"/>
        <v>553.0333333333333</v>
      </c>
      <c r="P1879" s="835">
        <f t="shared" ref="P1879:P1942" ca="1" si="155">IF(B1879&lt;&gt;0,(ROUND((NOW()-B1879)/30,0)),0)</f>
        <v>6</v>
      </c>
      <c r="Q1879" s="825">
        <f t="shared" ca="1" si="154"/>
        <v>29863.8</v>
      </c>
      <c r="R1879" s="825">
        <f t="shared" ref="R1879:R1942" ca="1" si="156">IF(Q1879&lt;1,1,Q1879)</f>
        <v>29863.8</v>
      </c>
      <c r="S1879" s="836" t="s">
        <v>6640</v>
      </c>
    </row>
    <row r="1880" spans="2:19" ht="45" customHeight="1" x14ac:dyDescent="0.25">
      <c r="B1880" s="864">
        <v>45667</v>
      </c>
      <c r="C1880" s="828">
        <v>45804</v>
      </c>
      <c r="D1880" s="823"/>
      <c r="E1880" s="848" t="s">
        <v>6988</v>
      </c>
      <c r="F1880" s="734" t="s">
        <v>6708</v>
      </c>
      <c r="G1880" s="761" t="s">
        <v>6630</v>
      </c>
      <c r="H1880" s="824" t="s">
        <v>28</v>
      </c>
      <c r="I1880" s="829" t="s">
        <v>6019</v>
      </c>
      <c r="J1880" s="830" t="s">
        <v>6225</v>
      </c>
      <c r="K1880" s="825">
        <v>33182</v>
      </c>
      <c r="L1880" s="826">
        <v>60.722200000000001</v>
      </c>
      <c r="M1880" s="825">
        <f t="shared" si="147"/>
        <v>546.45582669929615</v>
      </c>
      <c r="N1880" s="833">
        <v>60</v>
      </c>
      <c r="O1880" s="834">
        <f t="shared" si="153"/>
        <v>553.0333333333333</v>
      </c>
      <c r="P1880" s="835">
        <f t="shared" ca="1" si="155"/>
        <v>6</v>
      </c>
      <c r="Q1880" s="825">
        <f t="shared" ca="1" si="154"/>
        <v>29863.8</v>
      </c>
      <c r="R1880" s="825">
        <f t="shared" ca="1" si="156"/>
        <v>29863.8</v>
      </c>
      <c r="S1880" s="836" t="s">
        <v>6640</v>
      </c>
    </row>
    <row r="1881" spans="2:19" ht="45" customHeight="1" x14ac:dyDescent="0.25">
      <c r="B1881" s="864">
        <v>45667</v>
      </c>
      <c r="C1881" s="828">
        <v>45804</v>
      </c>
      <c r="D1881" s="823"/>
      <c r="E1881" s="848" t="s">
        <v>6988</v>
      </c>
      <c r="F1881" s="734" t="s">
        <v>6709</v>
      </c>
      <c r="G1881" s="761" t="s">
        <v>6630</v>
      </c>
      <c r="H1881" s="824" t="s">
        <v>28</v>
      </c>
      <c r="I1881" s="829" t="s">
        <v>6019</v>
      </c>
      <c r="J1881" s="830" t="s">
        <v>6225</v>
      </c>
      <c r="K1881" s="825">
        <v>33182</v>
      </c>
      <c r="L1881" s="826">
        <v>60.722200000000001</v>
      </c>
      <c r="M1881" s="825">
        <f t="shared" si="147"/>
        <v>546.45582669929615</v>
      </c>
      <c r="N1881" s="833">
        <v>60</v>
      </c>
      <c r="O1881" s="834">
        <f t="shared" si="153"/>
        <v>553.0333333333333</v>
      </c>
      <c r="P1881" s="835">
        <f t="shared" ca="1" si="155"/>
        <v>6</v>
      </c>
      <c r="Q1881" s="825">
        <f t="shared" ca="1" si="154"/>
        <v>29863.8</v>
      </c>
      <c r="R1881" s="825">
        <f t="shared" ca="1" si="156"/>
        <v>29863.8</v>
      </c>
      <c r="S1881" s="836" t="s">
        <v>6640</v>
      </c>
    </row>
    <row r="1882" spans="2:19" ht="45" customHeight="1" x14ac:dyDescent="0.25">
      <c r="B1882" s="864">
        <v>45667</v>
      </c>
      <c r="C1882" s="828">
        <v>45804</v>
      </c>
      <c r="D1882" s="823"/>
      <c r="E1882" s="848" t="s">
        <v>6988</v>
      </c>
      <c r="F1882" s="734" t="s">
        <v>6710</v>
      </c>
      <c r="G1882" s="761" t="s">
        <v>6630</v>
      </c>
      <c r="H1882" s="824" t="s">
        <v>28</v>
      </c>
      <c r="I1882" s="829" t="s">
        <v>6019</v>
      </c>
      <c r="J1882" s="830" t="s">
        <v>6225</v>
      </c>
      <c r="K1882" s="825">
        <v>33182</v>
      </c>
      <c r="L1882" s="826">
        <v>60.722200000000001</v>
      </c>
      <c r="M1882" s="825">
        <f t="shared" si="147"/>
        <v>546.45582669929615</v>
      </c>
      <c r="N1882" s="833">
        <v>60</v>
      </c>
      <c r="O1882" s="834">
        <f t="shared" si="153"/>
        <v>553.0333333333333</v>
      </c>
      <c r="P1882" s="835">
        <f t="shared" ca="1" si="155"/>
        <v>6</v>
      </c>
      <c r="Q1882" s="825">
        <f t="shared" ca="1" si="154"/>
        <v>29863.8</v>
      </c>
      <c r="R1882" s="825">
        <f t="shared" ca="1" si="156"/>
        <v>29863.8</v>
      </c>
      <c r="S1882" s="836" t="s">
        <v>6640</v>
      </c>
    </row>
    <row r="1883" spans="2:19" ht="45" customHeight="1" x14ac:dyDescent="0.25">
      <c r="B1883" s="864">
        <v>45667</v>
      </c>
      <c r="C1883" s="828">
        <v>45804</v>
      </c>
      <c r="D1883" s="823"/>
      <c r="E1883" s="848" t="s">
        <v>6988</v>
      </c>
      <c r="F1883" s="734" t="s">
        <v>6711</v>
      </c>
      <c r="G1883" s="761" t="s">
        <v>6630</v>
      </c>
      <c r="H1883" s="824" t="s">
        <v>28</v>
      </c>
      <c r="I1883" s="829" t="s">
        <v>6019</v>
      </c>
      <c r="J1883" s="830" t="s">
        <v>6225</v>
      </c>
      <c r="K1883" s="825">
        <v>33182</v>
      </c>
      <c r="L1883" s="826">
        <v>60.722200000000001</v>
      </c>
      <c r="M1883" s="825">
        <f t="shared" si="147"/>
        <v>546.45582669929615</v>
      </c>
      <c r="N1883" s="833">
        <v>60</v>
      </c>
      <c r="O1883" s="834">
        <f t="shared" si="153"/>
        <v>553.0333333333333</v>
      </c>
      <c r="P1883" s="835">
        <f t="shared" ca="1" si="155"/>
        <v>6</v>
      </c>
      <c r="Q1883" s="825">
        <f t="shared" ca="1" si="154"/>
        <v>29863.8</v>
      </c>
      <c r="R1883" s="825">
        <f t="shared" ca="1" si="156"/>
        <v>29863.8</v>
      </c>
      <c r="S1883" s="836" t="s">
        <v>6640</v>
      </c>
    </row>
    <row r="1884" spans="2:19" ht="45" customHeight="1" x14ac:dyDescent="0.25">
      <c r="B1884" s="864">
        <v>45667</v>
      </c>
      <c r="C1884" s="828">
        <v>45804</v>
      </c>
      <c r="D1884" s="823"/>
      <c r="E1884" s="848" t="s">
        <v>6988</v>
      </c>
      <c r="F1884" s="734" t="s">
        <v>6712</v>
      </c>
      <c r="G1884" s="761" t="s">
        <v>6630</v>
      </c>
      <c r="H1884" s="824" t="s">
        <v>28</v>
      </c>
      <c r="I1884" s="829" t="s">
        <v>6019</v>
      </c>
      <c r="J1884" s="830" t="s">
        <v>6225</v>
      </c>
      <c r="K1884" s="825">
        <v>33182</v>
      </c>
      <c r="L1884" s="826">
        <v>60.722200000000001</v>
      </c>
      <c r="M1884" s="825">
        <f t="shared" si="147"/>
        <v>546.45582669929615</v>
      </c>
      <c r="N1884" s="833">
        <v>60</v>
      </c>
      <c r="O1884" s="834">
        <f t="shared" si="153"/>
        <v>553.0333333333333</v>
      </c>
      <c r="P1884" s="835">
        <f t="shared" ca="1" si="155"/>
        <v>6</v>
      </c>
      <c r="Q1884" s="825">
        <f t="shared" ca="1" si="154"/>
        <v>29863.8</v>
      </c>
      <c r="R1884" s="825">
        <f t="shared" ca="1" si="156"/>
        <v>29863.8</v>
      </c>
      <c r="S1884" s="836" t="s">
        <v>6640</v>
      </c>
    </row>
    <row r="1885" spans="2:19" ht="45" customHeight="1" x14ac:dyDescent="0.25">
      <c r="B1885" s="864">
        <v>45667</v>
      </c>
      <c r="C1885" s="828">
        <v>45804</v>
      </c>
      <c r="D1885" s="823"/>
      <c r="E1885" s="848" t="s">
        <v>6988</v>
      </c>
      <c r="F1885" s="734" t="s">
        <v>6713</v>
      </c>
      <c r="G1885" s="761" t="s">
        <v>6630</v>
      </c>
      <c r="H1885" s="824" t="s">
        <v>28</v>
      </c>
      <c r="I1885" s="829" t="s">
        <v>6019</v>
      </c>
      <c r="J1885" s="830" t="s">
        <v>6225</v>
      </c>
      <c r="K1885" s="825">
        <v>33182</v>
      </c>
      <c r="L1885" s="826">
        <v>60.722200000000001</v>
      </c>
      <c r="M1885" s="825">
        <f t="shared" si="147"/>
        <v>546.45582669929615</v>
      </c>
      <c r="N1885" s="833">
        <v>60</v>
      </c>
      <c r="O1885" s="834">
        <f t="shared" si="153"/>
        <v>553.0333333333333</v>
      </c>
      <c r="P1885" s="835">
        <f t="shared" ca="1" si="155"/>
        <v>6</v>
      </c>
      <c r="Q1885" s="825">
        <f t="shared" ca="1" si="154"/>
        <v>29863.8</v>
      </c>
      <c r="R1885" s="825">
        <f t="shared" ca="1" si="156"/>
        <v>29863.8</v>
      </c>
      <c r="S1885" s="836" t="s">
        <v>6640</v>
      </c>
    </row>
    <row r="1886" spans="2:19" ht="45" customHeight="1" x14ac:dyDescent="0.25">
      <c r="B1886" s="864">
        <v>45667</v>
      </c>
      <c r="C1886" s="828">
        <v>45804</v>
      </c>
      <c r="D1886" s="823"/>
      <c r="E1886" s="848" t="s">
        <v>6988</v>
      </c>
      <c r="F1886" s="734" t="s">
        <v>6714</v>
      </c>
      <c r="G1886" s="761" t="s">
        <v>6630</v>
      </c>
      <c r="H1886" s="824" t="s">
        <v>28</v>
      </c>
      <c r="I1886" s="829" t="s">
        <v>6019</v>
      </c>
      <c r="J1886" s="830" t="s">
        <v>6225</v>
      </c>
      <c r="K1886" s="825">
        <v>33182</v>
      </c>
      <c r="L1886" s="826">
        <v>60.722200000000001</v>
      </c>
      <c r="M1886" s="825">
        <f t="shared" si="147"/>
        <v>546.45582669929615</v>
      </c>
      <c r="N1886" s="833">
        <v>60</v>
      </c>
      <c r="O1886" s="834">
        <f t="shared" si="153"/>
        <v>553.0333333333333</v>
      </c>
      <c r="P1886" s="835">
        <f t="shared" ca="1" si="155"/>
        <v>6</v>
      </c>
      <c r="Q1886" s="825">
        <f t="shared" ca="1" si="154"/>
        <v>29863.8</v>
      </c>
      <c r="R1886" s="825">
        <f t="shared" ca="1" si="156"/>
        <v>29863.8</v>
      </c>
      <c r="S1886" s="836" t="s">
        <v>6640</v>
      </c>
    </row>
    <row r="1887" spans="2:19" ht="45" customHeight="1" x14ac:dyDescent="0.25">
      <c r="B1887" s="864">
        <v>45667</v>
      </c>
      <c r="C1887" s="828">
        <v>45804</v>
      </c>
      <c r="D1887" s="823"/>
      <c r="E1887" s="848" t="s">
        <v>6988</v>
      </c>
      <c r="F1887" s="734" t="s">
        <v>6715</v>
      </c>
      <c r="G1887" s="761" t="s">
        <v>6630</v>
      </c>
      <c r="H1887" s="824" t="s">
        <v>28</v>
      </c>
      <c r="I1887" s="829" t="s">
        <v>6019</v>
      </c>
      <c r="J1887" s="830" t="s">
        <v>6225</v>
      </c>
      <c r="K1887" s="825">
        <v>33182</v>
      </c>
      <c r="L1887" s="826">
        <v>60.722200000000001</v>
      </c>
      <c r="M1887" s="825">
        <f t="shared" ref="M1887:M1950" si="157">+K1887/L1887</f>
        <v>546.45582669929615</v>
      </c>
      <c r="N1887" s="833">
        <v>60</v>
      </c>
      <c r="O1887" s="834">
        <f t="shared" si="153"/>
        <v>553.0333333333333</v>
      </c>
      <c r="P1887" s="835">
        <f t="shared" ca="1" si="155"/>
        <v>6</v>
      </c>
      <c r="Q1887" s="825">
        <f t="shared" ca="1" si="154"/>
        <v>29863.8</v>
      </c>
      <c r="R1887" s="825">
        <f t="shared" ca="1" si="156"/>
        <v>29863.8</v>
      </c>
      <c r="S1887" s="836" t="s">
        <v>6640</v>
      </c>
    </row>
    <row r="1888" spans="2:19" ht="45" customHeight="1" x14ac:dyDescent="0.25">
      <c r="B1888" s="864">
        <v>45667</v>
      </c>
      <c r="C1888" s="828">
        <v>45804</v>
      </c>
      <c r="D1888" s="823"/>
      <c r="E1888" s="848" t="s">
        <v>6988</v>
      </c>
      <c r="F1888" s="734" t="s">
        <v>6716</v>
      </c>
      <c r="G1888" s="761" t="s">
        <v>6630</v>
      </c>
      <c r="H1888" s="824" t="s">
        <v>28</v>
      </c>
      <c r="I1888" s="829" t="s">
        <v>6019</v>
      </c>
      <c r="J1888" s="830" t="s">
        <v>6225</v>
      </c>
      <c r="K1888" s="825">
        <v>33182</v>
      </c>
      <c r="L1888" s="826">
        <v>60.722200000000001</v>
      </c>
      <c r="M1888" s="825">
        <f t="shared" si="157"/>
        <v>546.45582669929615</v>
      </c>
      <c r="N1888" s="833">
        <v>60</v>
      </c>
      <c r="O1888" s="834">
        <f t="shared" si="153"/>
        <v>553.0333333333333</v>
      </c>
      <c r="P1888" s="835">
        <f t="shared" ca="1" si="155"/>
        <v>6</v>
      </c>
      <c r="Q1888" s="825">
        <f t="shared" ca="1" si="154"/>
        <v>29863.8</v>
      </c>
      <c r="R1888" s="825">
        <f t="shared" ca="1" si="156"/>
        <v>29863.8</v>
      </c>
      <c r="S1888" s="836" t="s">
        <v>6640</v>
      </c>
    </row>
    <row r="1889" spans="2:19" ht="45" customHeight="1" x14ac:dyDescent="0.25">
      <c r="B1889" s="864">
        <v>45667</v>
      </c>
      <c r="C1889" s="828">
        <v>45804</v>
      </c>
      <c r="D1889" s="823"/>
      <c r="E1889" s="848" t="s">
        <v>6988</v>
      </c>
      <c r="F1889" s="734" t="s">
        <v>6717</v>
      </c>
      <c r="G1889" s="761" t="s">
        <v>6630</v>
      </c>
      <c r="H1889" s="824" t="s">
        <v>28</v>
      </c>
      <c r="I1889" s="829" t="s">
        <v>6019</v>
      </c>
      <c r="J1889" s="830" t="s">
        <v>6225</v>
      </c>
      <c r="K1889" s="825">
        <v>33182</v>
      </c>
      <c r="L1889" s="826">
        <v>60.722200000000001</v>
      </c>
      <c r="M1889" s="825">
        <f t="shared" si="157"/>
        <v>546.45582669929615</v>
      </c>
      <c r="N1889" s="833">
        <v>60</v>
      </c>
      <c r="O1889" s="834">
        <f t="shared" si="153"/>
        <v>553.0333333333333</v>
      </c>
      <c r="P1889" s="835">
        <f t="shared" ca="1" si="155"/>
        <v>6</v>
      </c>
      <c r="Q1889" s="825">
        <f t="shared" ca="1" si="154"/>
        <v>29863.8</v>
      </c>
      <c r="R1889" s="825">
        <f t="shared" ca="1" si="156"/>
        <v>29863.8</v>
      </c>
      <c r="S1889" s="836" t="s">
        <v>6640</v>
      </c>
    </row>
    <row r="1890" spans="2:19" ht="45" customHeight="1" x14ac:dyDescent="0.25">
      <c r="B1890" s="864">
        <v>45667</v>
      </c>
      <c r="C1890" s="828">
        <v>45804</v>
      </c>
      <c r="D1890" s="823"/>
      <c r="E1890" s="848" t="s">
        <v>6988</v>
      </c>
      <c r="F1890" s="734" t="s">
        <v>6718</v>
      </c>
      <c r="G1890" s="761" t="s">
        <v>6630</v>
      </c>
      <c r="H1890" s="824" t="s">
        <v>28</v>
      </c>
      <c r="I1890" s="829" t="s">
        <v>6019</v>
      </c>
      <c r="J1890" s="830" t="s">
        <v>6225</v>
      </c>
      <c r="K1890" s="825">
        <v>33182</v>
      </c>
      <c r="L1890" s="826">
        <v>60.722200000000001</v>
      </c>
      <c r="M1890" s="825">
        <f t="shared" si="157"/>
        <v>546.45582669929615</v>
      </c>
      <c r="N1890" s="833">
        <v>60</v>
      </c>
      <c r="O1890" s="834">
        <f t="shared" si="153"/>
        <v>553.0333333333333</v>
      </c>
      <c r="P1890" s="835">
        <f t="shared" ca="1" si="155"/>
        <v>6</v>
      </c>
      <c r="Q1890" s="825">
        <f t="shared" ca="1" si="154"/>
        <v>29863.8</v>
      </c>
      <c r="R1890" s="825">
        <f t="shared" ca="1" si="156"/>
        <v>29863.8</v>
      </c>
      <c r="S1890" s="836" t="s">
        <v>6640</v>
      </c>
    </row>
    <row r="1891" spans="2:19" ht="45" customHeight="1" x14ac:dyDescent="0.25">
      <c r="B1891" s="864">
        <v>45667</v>
      </c>
      <c r="C1891" s="828">
        <v>45804</v>
      </c>
      <c r="D1891" s="823"/>
      <c r="E1891" s="848" t="s">
        <v>6988</v>
      </c>
      <c r="F1891" s="734" t="s">
        <v>6719</v>
      </c>
      <c r="G1891" s="761" t="s">
        <v>6630</v>
      </c>
      <c r="H1891" s="824" t="s">
        <v>28</v>
      </c>
      <c r="I1891" s="829" t="s">
        <v>6019</v>
      </c>
      <c r="J1891" s="830" t="s">
        <v>6225</v>
      </c>
      <c r="K1891" s="825">
        <v>33182</v>
      </c>
      <c r="L1891" s="826">
        <v>60.722200000000001</v>
      </c>
      <c r="M1891" s="825">
        <f t="shared" si="157"/>
        <v>546.45582669929615</v>
      </c>
      <c r="N1891" s="833">
        <v>60</v>
      </c>
      <c r="O1891" s="834">
        <f t="shared" si="153"/>
        <v>553.0333333333333</v>
      </c>
      <c r="P1891" s="835">
        <f t="shared" ca="1" si="155"/>
        <v>6</v>
      </c>
      <c r="Q1891" s="825">
        <f t="shared" ca="1" si="154"/>
        <v>29863.8</v>
      </c>
      <c r="R1891" s="825">
        <f t="shared" ca="1" si="156"/>
        <v>29863.8</v>
      </c>
      <c r="S1891" s="836" t="s">
        <v>6640</v>
      </c>
    </row>
    <row r="1892" spans="2:19" ht="45" customHeight="1" x14ac:dyDescent="0.25">
      <c r="B1892" s="864">
        <v>45667</v>
      </c>
      <c r="C1892" s="828">
        <v>45804</v>
      </c>
      <c r="D1892" s="823"/>
      <c r="E1892" s="848" t="s">
        <v>6988</v>
      </c>
      <c r="F1892" s="734" t="s">
        <v>6720</v>
      </c>
      <c r="G1892" s="761" t="s">
        <v>6630</v>
      </c>
      <c r="H1892" s="824" t="s">
        <v>28</v>
      </c>
      <c r="I1892" s="829" t="s">
        <v>6019</v>
      </c>
      <c r="J1892" s="830" t="s">
        <v>6225</v>
      </c>
      <c r="K1892" s="825">
        <v>33182</v>
      </c>
      <c r="L1892" s="826">
        <v>60.722200000000001</v>
      </c>
      <c r="M1892" s="825">
        <f t="shared" si="157"/>
        <v>546.45582669929615</v>
      </c>
      <c r="N1892" s="833">
        <v>60</v>
      </c>
      <c r="O1892" s="834">
        <f t="shared" si="153"/>
        <v>553.0333333333333</v>
      </c>
      <c r="P1892" s="835">
        <f t="shared" ca="1" si="155"/>
        <v>6</v>
      </c>
      <c r="Q1892" s="825">
        <f t="shared" ca="1" si="154"/>
        <v>29863.8</v>
      </c>
      <c r="R1892" s="825">
        <f t="shared" ca="1" si="156"/>
        <v>29863.8</v>
      </c>
      <c r="S1892" s="836" t="s">
        <v>6640</v>
      </c>
    </row>
    <row r="1893" spans="2:19" ht="45" customHeight="1" x14ac:dyDescent="0.25">
      <c r="B1893" s="864">
        <v>45667</v>
      </c>
      <c r="C1893" s="828">
        <v>45804</v>
      </c>
      <c r="D1893" s="823"/>
      <c r="E1893" s="848" t="s">
        <v>6988</v>
      </c>
      <c r="F1893" s="734" t="s">
        <v>6721</v>
      </c>
      <c r="G1893" s="761" t="s">
        <v>6630</v>
      </c>
      <c r="H1893" s="824" t="s">
        <v>28</v>
      </c>
      <c r="I1893" s="829" t="s">
        <v>6019</v>
      </c>
      <c r="J1893" s="830" t="s">
        <v>6225</v>
      </c>
      <c r="K1893" s="825">
        <v>33182</v>
      </c>
      <c r="L1893" s="826">
        <v>60.722200000000001</v>
      </c>
      <c r="M1893" s="825">
        <f t="shared" si="157"/>
        <v>546.45582669929615</v>
      </c>
      <c r="N1893" s="833">
        <v>60</v>
      </c>
      <c r="O1893" s="834">
        <f t="shared" si="153"/>
        <v>553.0333333333333</v>
      </c>
      <c r="P1893" s="835">
        <f t="shared" ca="1" si="155"/>
        <v>6</v>
      </c>
      <c r="Q1893" s="825">
        <f t="shared" ca="1" si="154"/>
        <v>29863.8</v>
      </c>
      <c r="R1893" s="825">
        <f t="shared" ca="1" si="156"/>
        <v>29863.8</v>
      </c>
      <c r="S1893" s="836" t="s">
        <v>6640</v>
      </c>
    </row>
    <row r="1894" spans="2:19" ht="45" customHeight="1" x14ac:dyDescent="0.25">
      <c r="B1894" s="864">
        <v>45667</v>
      </c>
      <c r="C1894" s="828">
        <v>45804</v>
      </c>
      <c r="D1894" s="823"/>
      <c r="E1894" s="848" t="s">
        <v>6988</v>
      </c>
      <c r="F1894" s="734" t="s">
        <v>6722</v>
      </c>
      <c r="G1894" s="761" t="s">
        <v>6630</v>
      </c>
      <c r="H1894" s="824" t="s">
        <v>28</v>
      </c>
      <c r="I1894" s="829" t="s">
        <v>6019</v>
      </c>
      <c r="J1894" s="830" t="s">
        <v>6225</v>
      </c>
      <c r="K1894" s="825">
        <v>33182</v>
      </c>
      <c r="L1894" s="826">
        <v>60.722200000000001</v>
      </c>
      <c r="M1894" s="825">
        <f t="shared" si="157"/>
        <v>546.45582669929615</v>
      </c>
      <c r="N1894" s="833">
        <v>60</v>
      </c>
      <c r="O1894" s="834">
        <f t="shared" si="153"/>
        <v>553.0333333333333</v>
      </c>
      <c r="P1894" s="835">
        <f t="shared" ca="1" si="155"/>
        <v>6</v>
      </c>
      <c r="Q1894" s="825">
        <f t="shared" ca="1" si="154"/>
        <v>29863.8</v>
      </c>
      <c r="R1894" s="825">
        <f t="shared" ca="1" si="156"/>
        <v>29863.8</v>
      </c>
      <c r="S1894" s="836" t="s">
        <v>6640</v>
      </c>
    </row>
    <row r="1895" spans="2:19" ht="45" customHeight="1" x14ac:dyDescent="0.25">
      <c r="B1895" s="864">
        <v>45667</v>
      </c>
      <c r="C1895" s="828">
        <v>45804</v>
      </c>
      <c r="D1895" s="823"/>
      <c r="E1895" s="848" t="s">
        <v>6988</v>
      </c>
      <c r="F1895" s="734" t="s">
        <v>6723</v>
      </c>
      <c r="G1895" s="761" t="s">
        <v>6630</v>
      </c>
      <c r="H1895" s="824" t="s">
        <v>28</v>
      </c>
      <c r="I1895" s="829" t="s">
        <v>6019</v>
      </c>
      <c r="J1895" s="830" t="s">
        <v>6225</v>
      </c>
      <c r="K1895" s="825">
        <v>33182</v>
      </c>
      <c r="L1895" s="826">
        <v>60.722200000000001</v>
      </c>
      <c r="M1895" s="825">
        <f t="shared" si="157"/>
        <v>546.45582669929615</v>
      </c>
      <c r="N1895" s="833">
        <v>60</v>
      </c>
      <c r="O1895" s="834">
        <f t="shared" si="153"/>
        <v>553.0333333333333</v>
      </c>
      <c r="P1895" s="835">
        <f t="shared" ca="1" si="155"/>
        <v>6</v>
      </c>
      <c r="Q1895" s="825">
        <f t="shared" ca="1" si="154"/>
        <v>29863.8</v>
      </c>
      <c r="R1895" s="825">
        <f t="shared" ca="1" si="156"/>
        <v>29863.8</v>
      </c>
      <c r="S1895" s="836" t="s">
        <v>6640</v>
      </c>
    </row>
    <row r="1896" spans="2:19" ht="45" customHeight="1" x14ac:dyDescent="0.25">
      <c r="B1896" s="864">
        <v>45667</v>
      </c>
      <c r="C1896" s="828">
        <v>45804</v>
      </c>
      <c r="D1896" s="823"/>
      <c r="E1896" s="848" t="s">
        <v>6988</v>
      </c>
      <c r="F1896" s="734" t="s">
        <v>6724</v>
      </c>
      <c r="G1896" s="761" t="s">
        <v>6630</v>
      </c>
      <c r="H1896" s="824" t="s">
        <v>28</v>
      </c>
      <c r="I1896" s="829" t="s">
        <v>6019</v>
      </c>
      <c r="J1896" s="830" t="s">
        <v>6225</v>
      </c>
      <c r="K1896" s="825">
        <v>33182</v>
      </c>
      <c r="L1896" s="826">
        <v>60.722200000000001</v>
      </c>
      <c r="M1896" s="825">
        <f t="shared" si="157"/>
        <v>546.45582669929615</v>
      </c>
      <c r="N1896" s="833">
        <v>60</v>
      </c>
      <c r="O1896" s="834">
        <f t="shared" si="153"/>
        <v>553.0333333333333</v>
      </c>
      <c r="P1896" s="835">
        <f t="shared" ca="1" si="155"/>
        <v>6</v>
      </c>
      <c r="Q1896" s="825">
        <f t="shared" ca="1" si="154"/>
        <v>29863.8</v>
      </c>
      <c r="R1896" s="825">
        <f t="shared" ca="1" si="156"/>
        <v>29863.8</v>
      </c>
      <c r="S1896" s="836" t="s">
        <v>6640</v>
      </c>
    </row>
    <row r="1897" spans="2:19" ht="45" customHeight="1" x14ac:dyDescent="0.25">
      <c r="B1897" s="864">
        <v>45667</v>
      </c>
      <c r="C1897" s="828">
        <v>45804</v>
      </c>
      <c r="D1897" s="823"/>
      <c r="E1897" s="848" t="s">
        <v>6988</v>
      </c>
      <c r="F1897" s="734" t="s">
        <v>6725</v>
      </c>
      <c r="G1897" s="761" t="s">
        <v>6631</v>
      </c>
      <c r="H1897" s="824" t="s">
        <v>28</v>
      </c>
      <c r="I1897" s="829" t="s">
        <v>6019</v>
      </c>
      <c r="J1897" s="830" t="s">
        <v>6225</v>
      </c>
      <c r="K1897" s="825">
        <v>6113.25</v>
      </c>
      <c r="L1897" s="826">
        <v>60.722200000000001</v>
      </c>
      <c r="M1897" s="825">
        <f t="shared" si="157"/>
        <v>100.67570015579146</v>
      </c>
      <c r="N1897" s="833">
        <v>60</v>
      </c>
      <c r="O1897" s="834">
        <f t="shared" si="153"/>
        <v>101.8875</v>
      </c>
      <c r="P1897" s="835">
        <f t="shared" ca="1" si="155"/>
        <v>6</v>
      </c>
      <c r="Q1897" s="825">
        <f t="shared" ca="1" si="154"/>
        <v>5501.9250000000002</v>
      </c>
      <c r="R1897" s="825">
        <f t="shared" ca="1" si="156"/>
        <v>5501.9250000000002</v>
      </c>
      <c r="S1897" s="836" t="s">
        <v>6640</v>
      </c>
    </row>
    <row r="1898" spans="2:19" ht="63" customHeight="1" x14ac:dyDescent="0.25">
      <c r="B1898" s="864">
        <v>45667</v>
      </c>
      <c r="C1898" s="828">
        <v>45804</v>
      </c>
      <c r="D1898" s="823"/>
      <c r="E1898" s="848" t="s">
        <v>6988</v>
      </c>
      <c r="F1898" s="734" t="s">
        <v>6726</v>
      </c>
      <c r="G1898" s="761" t="s">
        <v>6631</v>
      </c>
      <c r="H1898" s="824" t="s">
        <v>28</v>
      </c>
      <c r="I1898" s="829" t="s">
        <v>6019</v>
      </c>
      <c r="J1898" s="830" t="s">
        <v>6225</v>
      </c>
      <c r="K1898" s="825">
        <v>6113.25</v>
      </c>
      <c r="L1898" s="826">
        <v>60.722200000000001</v>
      </c>
      <c r="M1898" s="825">
        <f t="shared" si="157"/>
        <v>100.67570015579146</v>
      </c>
      <c r="N1898" s="833">
        <v>60</v>
      </c>
      <c r="O1898" s="834">
        <f t="shared" si="153"/>
        <v>101.8875</v>
      </c>
      <c r="P1898" s="835">
        <f t="shared" ca="1" si="155"/>
        <v>6</v>
      </c>
      <c r="Q1898" s="825">
        <f t="shared" ca="1" si="154"/>
        <v>5501.9250000000002</v>
      </c>
      <c r="R1898" s="825">
        <f t="shared" ca="1" si="156"/>
        <v>5501.9250000000002</v>
      </c>
      <c r="S1898" s="836" t="s">
        <v>6640</v>
      </c>
    </row>
    <row r="1899" spans="2:19" ht="45" customHeight="1" x14ac:dyDescent="0.25">
      <c r="B1899" s="864">
        <v>45667</v>
      </c>
      <c r="C1899" s="828">
        <v>45804</v>
      </c>
      <c r="D1899" s="823"/>
      <c r="E1899" s="848" t="s">
        <v>6988</v>
      </c>
      <c r="F1899" s="734" t="s">
        <v>6727</v>
      </c>
      <c r="G1899" s="761" t="s">
        <v>6631</v>
      </c>
      <c r="H1899" s="824" t="s">
        <v>28</v>
      </c>
      <c r="I1899" s="829" t="s">
        <v>6019</v>
      </c>
      <c r="J1899" s="830" t="s">
        <v>6225</v>
      </c>
      <c r="K1899" s="825">
        <v>6113.25</v>
      </c>
      <c r="L1899" s="826">
        <v>60.722200000000001</v>
      </c>
      <c r="M1899" s="825">
        <f t="shared" si="157"/>
        <v>100.67570015579146</v>
      </c>
      <c r="N1899" s="833">
        <v>60</v>
      </c>
      <c r="O1899" s="834">
        <f t="shared" si="153"/>
        <v>101.8875</v>
      </c>
      <c r="P1899" s="835">
        <f t="shared" ca="1" si="155"/>
        <v>6</v>
      </c>
      <c r="Q1899" s="825">
        <f t="shared" ca="1" si="154"/>
        <v>5501.9250000000002</v>
      </c>
      <c r="R1899" s="825">
        <f t="shared" ca="1" si="156"/>
        <v>5501.9250000000002</v>
      </c>
      <c r="S1899" s="836" t="s">
        <v>6640</v>
      </c>
    </row>
    <row r="1900" spans="2:19" ht="45" customHeight="1" x14ac:dyDescent="0.25">
      <c r="B1900" s="864">
        <v>45667</v>
      </c>
      <c r="C1900" s="828">
        <v>45804</v>
      </c>
      <c r="D1900" s="823"/>
      <c r="E1900" s="848" t="s">
        <v>6988</v>
      </c>
      <c r="F1900" s="734" t="s">
        <v>6728</v>
      </c>
      <c r="G1900" s="761" t="s">
        <v>6631</v>
      </c>
      <c r="H1900" s="824" t="s">
        <v>28</v>
      </c>
      <c r="I1900" s="829" t="s">
        <v>6019</v>
      </c>
      <c r="J1900" s="830" t="s">
        <v>6225</v>
      </c>
      <c r="K1900" s="825">
        <v>6113.25</v>
      </c>
      <c r="L1900" s="826">
        <v>60.722200000000001</v>
      </c>
      <c r="M1900" s="825">
        <f t="shared" si="157"/>
        <v>100.67570015579146</v>
      </c>
      <c r="N1900" s="833">
        <v>60</v>
      </c>
      <c r="O1900" s="834">
        <f t="shared" si="153"/>
        <v>101.8875</v>
      </c>
      <c r="P1900" s="835">
        <f t="shared" ca="1" si="155"/>
        <v>6</v>
      </c>
      <c r="Q1900" s="825">
        <f t="shared" ca="1" si="154"/>
        <v>5501.9250000000002</v>
      </c>
      <c r="R1900" s="825">
        <f t="shared" ca="1" si="156"/>
        <v>5501.9250000000002</v>
      </c>
      <c r="S1900" s="836" t="s">
        <v>6640</v>
      </c>
    </row>
    <row r="1901" spans="2:19" ht="45" customHeight="1" x14ac:dyDescent="0.25">
      <c r="B1901" s="864">
        <v>45667</v>
      </c>
      <c r="C1901" s="828">
        <v>45804</v>
      </c>
      <c r="D1901" s="823"/>
      <c r="E1901" s="848" t="s">
        <v>6988</v>
      </c>
      <c r="F1901" s="734" t="s">
        <v>6729</v>
      </c>
      <c r="G1901" s="761" t="s">
        <v>6631</v>
      </c>
      <c r="H1901" s="824" t="s">
        <v>28</v>
      </c>
      <c r="I1901" s="829" t="s">
        <v>6019</v>
      </c>
      <c r="J1901" s="830" t="s">
        <v>6225</v>
      </c>
      <c r="K1901" s="825">
        <v>6113.25</v>
      </c>
      <c r="L1901" s="826">
        <v>60.722200000000001</v>
      </c>
      <c r="M1901" s="825">
        <f t="shared" si="157"/>
        <v>100.67570015579146</v>
      </c>
      <c r="N1901" s="833">
        <v>60</v>
      </c>
      <c r="O1901" s="834">
        <f t="shared" si="153"/>
        <v>101.8875</v>
      </c>
      <c r="P1901" s="835">
        <f t="shared" ca="1" si="155"/>
        <v>6</v>
      </c>
      <c r="Q1901" s="825">
        <f t="shared" ca="1" si="154"/>
        <v>5501.9250000000002</v>
      </c>
      <c r="R1901" s="825">
        <f t="shared" ca="1" si="156"/>
        <v>5501.9250000000002</v>
      </c>
      <c r="S1901" s="836" t="s">
        <v>6640</v>
      </c>
    </row>
    <row r="1902" spans="2:19" ht="45" customHeight="1" x14ac:dyDescent="0.25">
      <c r="B1902" s="864">
        <v>45667</v>
      </c>
      <c r="C1902" s="828">
        <v>45804</v>
      </c>
      <c r="D1902" s="823"/>
      <c r="E1902" s="848" t="s">
        <v>6988</v>
      </c>
      <c r="F1902" s="734" t="s">
        <v>6730</v>
      </c>
      <c r="G1902" s="761" t="s">
        <v>6631</v>
      </c>
      <c r="H1902" s="824" t="s">
        <v>28</v>
      </c>
      <c r="I1902" s="829" t="s">
        <v>6019</v>
      </c>
      <c r="J1902" s="830" t="s">
        <v>6225</v>
      </c>
      <c r="K1902" s="825">
        <v>6113.25</v>
      </c>
      <c r="L1902" s="826">
        <v>60.722200000000001</v>
      </c>
      <c r="M1902" s="825">
        <f t="shared" si="157"/>
        <v>100.67570015579146</v>
      </c>
      <c r="N1902" s="833">
        <v>60</v>
      </c>
      <c r="O1902" s="834">
        <f t="shared" si="153"/>
        <v>101.8875</v>
      </c>
      <c r="P1902" s="835">
        <f t="shared" ca="1" si="155"/>
        <v>6</v>
      </c>
      <c r="Q1902" s="825">
        <f t="shared" ca="1" si="154"/>
        <v>5501.9250000000002</v>
      </c>
      <c r="R1902" s="825">
        <f t="shared" ca="1" si="156"/>
        <v>5501.9250000000002</v>
      </c>
      <c r="S1902" s="836" t="s">
        <v>6640</v>
      </c>
    </row>
    <row r="1903" spans="2:19" ht="45" customHeight="1" x14ac:dyDescent="0.25">
      <c r="B1903" s="864">
        <v>45667</v>
      </c>
      <c r="C1903" s="828">
        <v>45804</v>
      </c>
      <c r="D1903" s="823"/>
      <c r="E1903" s="848" t="s">
        <v>6988</v>
      </c>
      <c r="F1903" s="734" t="s">
        <v>6731</v>
      </c>
      <c r="G1903" s="761" t="s">
        <v>6631</v>
      </c>
      <c r="H1903" s="824" t="s">
        <v>28</v>
      </c>
      <c r="I1903" s="829" t="s">
        <v>6019</v>
      </c>
      <c r="J1903" s="830" t="s">
        <v>6225</v>
      </c>
      <c r="K1903" s="825">
        <v>6113.25</v>
      </c>
      <c r="L1903" s="826">
        <v>60.722200000000001</v>
      </c>
      <c r="M1903" s="825">
        <f t="shared" si="157"/>
        <v>100.67570015579146</v>
      </c>
      <c r="N1903" s="833">
        <v>60</v>
      </c>
      <c r="O1903" s="834">
        <f t="shared" si="153"/>
        <v>101.8875</v>
      </c>
      <c r="P1903" s="835">
        <f t="shared" ca="1" si="155"/>
        <v>6</v>
      </c>
      <c r="Q1903" s="825">
        <f t="shared" ca="1" si="154"/>
        <v>5501.9250000000002</v>
      </c>
      <c r="R1903" s="825">
        <f t="shared" ca="1" si="156"/>
        <v>5501.9250000000002</v>
      </c>
      <c r="S1903" s="836" t="s">
        <v>6640</v>
      </c>
    </row>
    <row r="1904" spans="2:19" ht="45" customHeight="1" x14ac:dyDescent="0.25">
      <c r="B1904" s="864">
        <v>45667</v>
      </c>
      <c r="C1904" s="828">
        <v>45804</v>
      </c>
      <c r="D1904" s="823"/>
      <c r="E1904" s="848" t="s">
        <v>6988</v>
      </c>
      <c r="F1904" s="734" t="s">
        <v>6732</v>
      </c>
      <c r="G1904" s="761" t="s">
        <v>6631</v>
      </c>
      <c r="H1904" s="824" t="s">
        <v>28</v>
      </c>
      <c r="I1904" s="829" t="s">
        <v>6019</v>
      </c>
      <c r="J1904" s="830" t="s">
        <v>6225</v>
      </c>
      <c r="K1904" s="825">
        <v>6113.25</v>
      </c>
      <c r="L1904" s="826">
        <v>60.722200000000001</v>
      </c>
      <c r="M1904" s="825">
        <f t="shared" si="157"/>
        <v>100.67570015579146</v>
      </c>
      <c r="N1904" s="833">
        <v>60</v>
      </c>
      <c r="O1904" s="834">
        <f t="shared" si="153"/>
        <v>101.8875</v>
      </c>
      <c r="P1904" s="835">
        <f t="shared" ca="1" si="155"/>
        <v>6</v>
      </c>
      <c r="Q1904" s="825">
        <f t="shared" ca="1" si="154"/>
        <v>5501.9250000000002</v>
      </c>
      <c r="R1904" s="825">
        <f t="shared" ca="1" si="156"/>
        <v>5501.9250000000002</v>
      </c>
      <c r="S1904" s="836" t="s">
        <v>6640</v>
      </c>
    </row>
    <row r="1905" spans="2:19" ht="45" customHeight="1" x14ac:dyDescent="0.25">
      <c r="B1905" s="864">
        <v>45667</v>
      </c>
      <c r="C1905" s="828">
        <v>45804</v>
      </c>
      <c r="D1905" s="823"/>
      <c r="E1905" s="848" t="s">
        <v>6988</v>
      </c>
      <c r="F1905" s="734" t="s">
        <v>6733</v>
      </c>
      <c r="G1905" s="761" t="s">
        <v>6631</v>
      </c>
      <c r="H1905" s="824" t="s">
        <v>28</v>
      </c>
      <c r="I1905" s="829" t="s">
        <v>6019</v>
      </c>
      <c r="J1905" s="830" t="s">
        <v>6225</v>
      </c>
      <c r="K1905" s="825">
        <v>6113.25</v>
      </c>
      <c r="L1905" s="826">
        <v>60.722200000000001</v>
      </c>
      <c r="M1905" s="825">
        <f t="shared" si="157"/>
        <v>100.67570015579146</v>
      </c>
      <c r="N1905" s="833">
        <v>60</v>
      </c>
      <c r="O1905" s="834">
        <f t="shared" si="153"/>
        <v>101.8875</v>
      </c>
      <c r="P1905" s="835">
        <f t="shared" ca="1" si="155"/>
        <v>6</v>
      </c>
      <c r="Q1905" s="825">
        <f t="shared" ca="1" si="154"/>
        <v>5501.9250000000002</v>
      </c>
      <c r="R1905" s="825">
        <f t="shared" ca="1" si="156"/>
        <v>5501.9250000000002</v>
      </c>
      <c r="S1905" s="836" t="s">
        <v>6640</v>
      </c>
    </row>
    <row r="1906" spans="2:19" ht="65.25" customHeight="1" x14ac:dyDescent="0.25">
      <c r="B1906" s="864">
        <v>45667</v>
      </c>
      <c r="C1906" s="828">
        <v>45804</v>
      </c>
      <c r="D1906" s="823"/>
      <c r="E1906" s="848" t="s">
        <v>6988</v>
      </c>
      <c r="F1906" s="734" t="s">
        <v>6734</v>
      </c>
      <c r="G1906" s="761" t="s">
        <v>6631</v>
      </c>
      <c r="H1906" s="824" t="s">
        <v>28</v>
      </c>
      <c r="I1906" s="829" t="s">
        <v>6019</v>
      </c>
      <c r="J1906" s="830" t="s">
        <v>6225</v>
      </c>
      <c r="K1906" s="825">
        <v>6113.25</v>
      </c>
      <c r="L1906" s="826">
        <v>60.722200000000001</v>
      </c>
      <c r="M1906" s="825">
        <f t="shared" si="157"/>
        <v>100.67570015579146</v>
      </c>
      <c r="N1906" s="833">
        <v>60</v>
      </c>
      <c r="O1906" s="834">
        <f t="shared" si="153"/>
        <v>101.8875</v>
      </c>
      <c r="P1906" s="835">
        <f t="shared" ca="1" si="155"/>
        <v>6</v>
      </c>
      <c r="Q1906" s="825">
        <f t="shared" ca="1" si="154"/>
        <v>5501.9250000000002</v>
      </c>
      <c r="R1906" s="825">
        <f t="shared" ca="1" si="156"/>
        <v>5501.9250000000002</v>
      </c>
      <c r="S1906" s="836" t="s">
        <v>6640</v>
      </c>
    </row>
    <row r="1907" spans="2:19" ht="45" customHeight="1" x14ac:dyDescent="0.25">
      <c r="B1907" s="864">
        <v>45667</v>
      </c>
      <c r="C1907" s="828">
        <v>45804</v>
      </c>
      <c r="D1907" s="823"/>
      <c r="E1907" s="848" t="s">
        <v>6988</v>
      </c>
      <c r="F1907" s="734" t="s">
        <v>6735</v>
      </c>
      <c r="G1907" s="761" t="s">
        <v>6631</v>
      </c>
      <c r="H1907" s="824" t="s">
        <v>28</v>
      </c>
      <c r="I1907" s="829" t="s">
        <v>6019</v>
      </c>
      <c r="J1907" s="830" t="s">
        <v>6225</v>
      </c>
      <c r="K1907" s="825">
        <v>6113.25</v>
      </c>
      <c r="L1907" s="826">
        <v>60.722200000000001</v>
      </c>
      <c r="M1907" s="825">
        <f t="shared" si="157"/>
        <v>100.67570015579146</v>
      </c>
      <c r="N1907" s="833">
        <v>60</v>
      </c>
      <c r="O1907" s="834">
        <f t="shared" si="153"/>
        <v>101.8875</v>
      </c>
      <c r="P1907" s="835">
        <f t="shared" ca="1" si="155"/>
        <v>6</v>
      </c>
      <c r="Q1907" s="825">
        <f t="shared" ca="1" si="154"/>
        <v>5501.9250000000002</v>
      </c>
      <c r="R1907" s="825">
        <f t="shared" ca="1" si="156"/>
        <v>5501.9250000000002</v>
      </c>
      <c r="S1907" s="836" t="s">
        <v>6640</v>
      </c>
    </row>
    <row r="1908" spans="2:19" ht="45" customHeight="1" x14ac:dyDescent="0.25">
      <c r="B1908" s="864">
        <v>45667</v>
      </c>
      <c r="C1908" s="828">
        <v>45804</v>
      </c>
      <c r="D1908" s="823"/>
      <c r="E1908" s="848" t="s">
        <v>6988</v>
      </c>
      <c r="F1908" s="734" t="s">
        <v>6736</v>
      </c>
      <c r="G1908" s="761" t="s">
        <v>6631</v>
      </c>
      <c r="H1908" s="824" t="s">
        <v>28</v>
      </c>
      <c r="I1908" s="829" t="s">
        <v>6019</v>
      </c>
      <c r="J1908" s="830" t="s">
        <v>6225</v>
      </c>
      <c r="K1908" s="825">
        <v>6113.25</v>
      </c>
      <c r="L1908" s="826">
        <v>60.722200000000001</v>
      </c>
      <c r="M1908" s="825">
        <f t="shared" si="157"/>
        <v>100.67570015579146</v>
      </c>
      <c r="N1908" s="833">
        <v>60</v>
      </c>
      <c r="O1908" s="834">
        <f t="shared" si="153"/>
        <v>101.8875</v>
      </c>
      <c r="P1908" s="835">
        <f t="shared" ca="1" si="155"/>
        <v>6</v>
      </c>
      <c r="Q1908" s="825">
        <f t="shared" ca="1" si="154"/>
        <v>5501.9250000000002</v>
      </c>
      <c r="R1908" s="825">
        <f t="shared" ca="1" si="156"/>
        <v>5501.9250000000002</v>
      </c>
      <c r="S1908" s="836" t="s">
        <v>6640</v>
      </c>
    </row>
    <row r="1909" spans="2:19" ht="45" customHeight="1" x14ac:dyDescent="0.25">
      <c r="B1909" s="864">
        <v>45667</v>
      </c>
      <c r="C1909" s="828">
        <v>45804</v>
      </c>
      <c r="D1909" s="823"/>
      <c r="E1909" s="848" t="s">
        <v>6988</v>
      </c>
      <c r="F1909" s="734" t="s">
        <v>6737</v>
      </c>
      <c r="G1909" s="761" t="s">
        <v>6631</v>
      </c>
      <c r="H1909" s="824" t="s">
        <v>28</v>
      </c>
      <c r="I1909" s="829" t="s">
        <v>6019</v>
      </c>
      <c r="J1909" s="830" t="s">
        <v>6225</v>
      </c>
      <c r="K1909" s="825">
        <v>6113.25</v>
      </c>
      <c r="L1909" s="826">
        <v>60.722200000000001</v>
      </c>
      <c r="M1909" s="825">
        <f t="shared" si="157"/>
        <v>100.67570015579146</v>
      </c>
      <c r="N1909" s="833">
        <v>60</v>
      </c>
      <c r="O1909" s="834">
        <f t="shared" si="153"/>
        <v>101.8875</v>
      </c>
      <c r="P1909" s="835">
        <f t="shared" ca="1" si="155"/>
        <v>6</v>
      </c>
      <c r="Q1909" s="825">
        <f t="shared" ca="1" si="154"/>
        <v>5501.9250000000002</v>
      </c>
      <c r="R1909" s="825">
        <f t="shared" ca="1" si="156"/>
        <v>5501.9250000000002</v>
      </c>
      <c r="S1909" s="836" t="s">
        <v>6640</v>
      </c>
    </row>
    <row r="1910" spans="2:19" ht="45" customHeight="1" x14ac:dyDescent="0.25">
      <c r="B1910" s="864">
        <v>45667</v>
      </c>
      <c r="C1910" s="828">
        <v>45804</v>
      </c>
      <c r="D1910" s="823"/>
      <c r="E1910" s="848" t="s">
        <v>6988</v>
      </c>
      <c r="F1910" s="734" t="s">
        <v>6738</v>
      </c>
      <c r="G1910" s="761" t="s">
        <v>6631</v>
      </c>
      <c r="H1910" s="824" t="s">
        <v>28</v>
      </c>
      <c r="I1910" s="829" t="s">
        <v>6019</v>
      </c>
      <c r="J1910" s="830" t="s">
        <v>6225</v>
      </c>
      <c r="K1910" s="825">
        <v>6113.25</v>
      </c>
      <c r="L1910" s="826">
        <v>60.722200000000001</v>
      </c>
      <c r="M1910" s="825">
        <f t="shared" si="157"/>
        <v>100.67570015579146</v>
      </c>
      <c r="N1910" s="833">
        <v>60</v>
      </c>
      <c r="O1910" s="834">
        <f t="shared" si="153"/>
        <v>101.8875</v>
      </c>
      <c r="P1910" s="835">
        <f t="shared" ca="1" si="155"/>
        <v>6</v>
      </c>
      <c r="Q1910" s="825">
        <f t="shared" ca="1" si="154"/>
        <v>5501.9250000000002</v>
      </c>
      <c r="R1910" s="825">
        <f t="shared" ca="1" si="156"/>
        <v>5501.9250000000002</v>
      </c>
      <c r="S1910" s="836" t="s">
        <v>6640</v>
      </c>
    </row>
    <row r="1911" spans="2:19" ht="45" customHeight="1" x14ac:dyDescent="0.25">
      <c r="B1911" s="864">
        <v>45667</v>
      </c>
      <c r="C1911" s="828">
        <v>45804</v>
      </c>
      <c r="D1911" s="823"/>
      <c r="E1911" s="848" t="s">
        <v>6988</v>
      </c>
      <c r="F1911" s="734" t="s">
        <v>6739</v>
      </c>
      <c r="G1911" s="761" t="s">
        <v>6631</v>
      </c>
      <c r="H1911" s="824" t="s">
        <v>28</v>
      </c>
      <c r="I1911" s="829" t="s">
        <v>6019</v>
      </c>
      <c r="J1911" s="830" t="s">
        <v>6225</v>
      </c>
      <c r="K1911" s="825">
        <v>6113.25</v>
      </c>
      <c r="L1911" s="826">
        <v>60.722200000000001</v>
      </c>
      <c r="M1911" s="825">
        <f t="shared" si="157"/>
        <v>100.67570015579146</v>
      </c>
      <c r="N1911" s="833">
        <v>60</v>
      </c>
      <c r="O1911" s="834">
        <f t="shared" si="153"/>
        <v>101.8875</v>
      </c>
      <c r="P1911" s="835">
        <f t="shared" ca="1" si="155"/>
        <v>6</v>
      </c>
      <c r="Q1911" s="825">
        <f t="shared" ca="1" si="154"/>
        <v>5501.9250000000002</v>
      </c>
      <c r="R1911" s="825">
        <f t="shared" ca="1" si="156"/>
        <v>5501.9250000000002</v>
      </c>
      <c r="S1911" s="836" t="s">
        <v>6640</v>
      </c>
    </row>
    <row r="1912" spans="2:19" ht="45" customHeight="1" x14ac:dyDescent="0.25">
      <c r="B1912" s="864">
        <v>45667</v>
      </c>
      <c r="C1912" s="828">
        <v>45804</v>
      </c>
      <c r="D1912" s="823"/>
      <c r="E1912" s="848" t="s">
        <v>6988</v>
      </c>
      <c r="F1912" s="734" t="s">
        <v>6740</v>
      </c>
      <c r="G1912" s="761" t="s">
        <v>6631</v>
      </c>
      <c r="H1912" s="824" t="s">
        <v>28</v>
      </c>
      <c r="I1912" s="829" t="s">
        <v>6019</v>
      </c>
      <c r="J1912" s="830" t="s">
        <v>6225</v>
      </c>
      <c r="K1912" s="825">
        <v>6113.25</v>
      </c>
      <c r="L1912" s="826">
        <v>60.722200000000001</v>
      </c>
      <c r="M1912" s="825">
        <f t="shared" si="157"/>
        <v>100.67570015579146</v>
      </c>
      <c r="N1912" s="833">
        <v>60</v>
      </c>
      <c r="O1912" s="834">
        <f t="shared" si="153"/>
        <v>101.8875</v>
      </c>
      <c r="P1912" s="835">
        <f t="shared" ca="1" si="155"/>
        <v>6</v>
      </c>
      <c r="Q1912" s="825">
        <f t="shared" ca="1" si="154"/>
        <v>5501.9250000000002</v>
      </c>
      <c r="R1912" s="825">
        <f t="shared" ca="1" si="156"/>
        <v>5501.9250000000002</v>
      </c>
      <c r="S1912" s="836" t="s">
        <v>6640</v>
      </c>
    </row>
    <row r="1913" spans="2:19" ht="45" customHeight="1" x14ac:dyDescent="0.25">
      <c r="B1913" s="864">
        <v>45667</v>
      </c>
      <c r="C1913" s="828">
        <v>45804</v>
      </c>
      <c r="D1913" s="823"/>
      <c r="E1913" s="848" t="s">
        <v>6988</v>
      </c>
      <c r="F1913" s="734" t="s">
        <v>6741</v>
      </c>
      <c r="G1913" s="761" t="s">
        <v>6631</v>
      </c>
      <c r="H1913" s="824" t="s">
        <v>28</v>
      </c>
      <c r="I1913" s="829" t="s">
        <v>6019</v>
      </c>
      <c r="J1913" s="830" t="s">
        <v>6225</v>
      </c>
      <c r="K1913" s="825">
        <v>6113.25</v>
      </c>
      <c r="L1913" s="826">
        <v>60.722200000000001</v>
      </c>
      <c r="M1913" s="825">
        <f t="shared" si="157"/>
        <v>100.67570015579146</v>
      </c>
      <c r="N1913" s="833">
        <v>60</v>
      </c>
      <c r="O1913" s="834">
        <f t="shared" si="153"/>
        <v>101.8875</v>
      </c>
      <c r="P1913" s="835">
        <f t="shared" ca="1" si="155"/>
        <v>6</v>
      </c>
      <c r="Q1913" s="825">
        <f t="shared" ca="1" si="154"/>
        <v>5501.9250000000002</v>
      </c>
      <c r="R1913" s="825">
        <f t="shared" ca="1" si="156"/>
        <v>5501.9250000000002</v>
      </c>
      <c r="S1913" s="836" t="s">
        <v>6640</v>
      </c>
    </row>
    <row r="1914" spans="2:19" ht="45" customHeight="1" x14ac:dyDescent="0.25">
      <c r="B1914" s="864">
        <v>45667</v>
      </c>
      <c r="C1914" s="828">
        <v>45804</v>
      </c>
      <c r="D1914" s="823"/>
      <c r="E1914" s="848" t="s">
        <v>6988</v>
      </c>
      <c r="F1914" s="734" t="s">
        <v>6742</v>
      </c>
      <c r="G1914" s="761" t="s">
        <v>6631</v>
      </c>
      <c r="H1914" s="824" t="s">
        <v>28</v>
      </c>
      <c r="I1914" s="829" t="s">
        <v>6019</v>
      </c>
      <c r="J1914" s="830" t="s">
        <v>6225</v>
      </c>
      <c r="K1914" s="825">
        <v>6113.25</v>
      </c>
      <c r="L1914" s="826">
        <v>60.722200000000001</v>
      </c>
      <c r="M1914" s="825">
        <f t="shared" si="157"/>
        <v>100.67570015579146</v>
      </c>
      <c r="N1914" s="833">
        <v>60</v>
      </c>
      <c r="O1914" s="834">
        <f t="shared" si="153"/>
        <v>101.8875</v>
      </c>
      <c r="P1914" s="835">
        <f t="shared" ca="1" si="155"/>
        <v>6</v>
      </c>
      <c r="Q1914" s="825">
        <f t="shared" ca="1" si="154"/>
        <v>5501.9250000000002</v>
      </c>
      <c r="R1914" s="825">
        <f t="shared" ca="1" si="156"/>
        <v>5501.9250000000002</v>
      </c>
      <c r="S1914" s="836" t="s">
        <v>6640</v>
      </c>
    </row>
    <row r="1915" spans="2:19" ht="45" customHeight="1" x14ac:dyDescent="0.25">
      <c r="B1915" s="864">
        <v>45667</v>
      </c>
      <c r="C1915" s="828">
        <v>45804</v>
      </c>
      <c r="D1915" s="823"/>
      <c r="E1915" s="848" t="s">
        <v>6988</v>
      </c>
      <c r="F1915" s="734" t="s">
        <v>6743</v>
      </c>
      <c r="G1915" s="761" t="s">
        <v>6631</v>
      </c>
      <c r="H1915" s="824" t="s">
        <v>28</v>
      </c>
      <c r="I1915" s="829" t="s">
        <v>6019</v>
      </c>
      <c r="J1915" s="830" t="s">
        <v>6225</v>
      </c>
      <c r="K1915" s="825">
        <v>6113.25</v>
      </c>
      <c r="L1915" s="826">
        <v>60.722200000000001</v>
      </c>
      <c r="M1915" s="825">
        <f t="shared" si="157"/>
        <v>100.67570015579146</v>
      </c>
      <c r="N1915" s="833">
        <v>60</v>
      </c>
      <c r="O1915" s="834">
        <f t="shared" si="153"/>
        <v>101.8875</v>
      </c>
      <c r="P1915" s="835">
        <f t="shared" ca="1" si="155"/>
        <v>6</v>
      </c>
      <c r="Q1915" s="825">
        <f t="shared" ca="1" si="154"/>
        <v>5501.9250000000002</v>
      </c>
      <c r="R1915" s="825">
        <f t="shared" ca="1" si="156"/>
        <v>5501.9250000000002</v>
      </c>
      <c r="S1915" s="836" t="s">
        <v>6640</v>
      </c>
    </row>
    <row r="1916" spans="2:19" ht="45" customHeight="1" x14ac:dyDescent="0.25">
      <c r="B1916" s="864">
        <v>45667</v>
      </c>
      <c r="C1916" s="828">
        <v>45804</v>
      </c>
      <c r="D1916" s="823"/>
      <c r="E1916" s="848" t="s">
        <v>6988</v>
      </c>
      <c r="F1916" s="734" t="s">
        <v>6744</v>
      </c>
      <c r="G1916" s="761" t="s">
        <v>6631</v>
      </c>
      <c r="H1916" s="824" t="s">
        <v>28</v>
      </c>
      <c r="I1916" s="829" t="s">
        <v>6019</v>
      </c>
      <c r="J1916" s="830" t="s">
        <v>6225</v>
      </c>
      <c r="K1916" s="825">
        <v>6113.25</v>
      </c>
      <c r="L1916" s="826">
        <v>60.722200000000001</v>
      </c>
      <c r="M1916" s="825">
        <f t="shared" si="157"/>
        <v>100.67570015579146</v>
      </c>
      <c r="N1916" s="833">
        <v>60</v>
      </c>
      <c r="O1916" s="834">
        <f t="shared" si="153"/>
        <v>101.8875</v>
      </c>
      <c r="P1916" s="835">
        <f t="shared" ca="1" si="155"/>
        <v>6</v>
      </c>
      <c r="Q1916" s="825">
        <f t="shared" ca="1" si="154"/>
        <v>5501.9250000000002</v>
      </c>
      <c r="R1916" s="825">
        <f t="shared" ca="1" si="156"/>
        <v>5501.9250000000002</v>
      </c>
      <c r="S1916" s="836" t="s">
        <v>6640</v>
      </c>
    </row>
    <row r="1917" spans="2:19" ht="45" customHeight="1" x14ac:dyDescent="0.25">
      <c r="B1917" s="864">
        <v>45667</v>
      </c>
      <c r="C1917" s="828">
        <v>45804</v>
      </c>
      <c r="D1917" s="823"/>
      <c r="E1917" s="848" t="s">
        <v>6988</v>
      </c>
      <c r="F1917" s="734" t="s">
        <v>6745</v>
      </c>
      <c r="G1917" s="761" t="s">
        <v>6631</v>
      </c>
      <c r="H1917" s="824" t="s">
        <v>28</v>
      </c>
      <c r="I1917" s="829" t="s">
        <v>6019</v>
      </c>
      <c r="J1917" s="830" t="s">
        <v>6225</v>
      </c>
      <c r="K1917" s="825">
        <v>6113.25</v>
      </c>
      <c r="L1917" s="826">
        <v>60.722200000000001</v>
      </c>
      <c r="M1917" s="825">
        <f t="shared" si="157"/>
        <v>100.67570015579146</v>
      </c>
      <c r="N1917" s="833">
        <v>60</v>
      </c>
      <c r="O1917" s="834">
        <f t="shared" si="153"/>
        <v>101.8875</v>
      </c>
      <c r="P1917" s="835">
        <f t="shared" ca="1" si="155"/>
        <v>6</v>
      </c>
      <c r="Q1917" s="825">
        <f t="shared" ca="1" si="154"/>
        <v>5501.9250000000002</v>
      </c>
      <c r="R1917" s="825">
        <f t="shared" ca="1" si="156"/>
        <v>5501.9250000000002</v>
      </c>
      <c r="S1917" s="836" t="s">
        <v>6640</v>
      </c>
    </row>
    <row r="1918" spans="2:19" ht="45" customHeight="1" x14ac:dyDescent="0.25">
      <c r="B1918" s="864">
        <v>45667</v>
      </c>
      <c r="C1918" s="828">
        <v>45804</v>
      </c>
      <c r="D1918" s="823"/>
      <c r="E1918" s="848" t="s">
        <v>6988</v>
      </c>
      <c r="F1918" s="734" t="s">
        <v>6746</v>
      </c>
      <c r="G1918" s="761" t="s">
        <v>6631</v>
      </c>
      <c r="H1918" s="824" t="s">
        <v>28</v>
      </c>
      <c r="I1918" s="829" t="s">
        <v>6019</v>
      </c>
      <c r="J1918" s="830" t="s">
        <v>6225</v>
      </c>
      <c r="K1918" s="825">
        <v>6113.25</v>
      </c>
      <c r="L1918" s="826">
        <v>60.722200000000001</v>
      </c>
      <c r="M1918" s="825">
        <f t="shared" si="157"/>
        <v>100.67570015579146</v>
      </c>
      <c r="N1918" s="833">
        <v>60</v>
      </c>
      <c r="O1918" s="834">
        <f t="shared" si="153"/>
        <v>101.8875</v>
      </c>
      <c r="P1918" s="835">
        <f t="shared" ca="1" si="155"/>
        <v>6</v>
      </c>
      <c r="Q1918" s="825">
        <f t="shared" ca="1" si="154"/>
        <v>5501.9250000000002</v>
      </c>
      <c r="R1918" s="825">
        <f t="shared" ca="1" si="156"/>
        <v>5501.9250000000002</v>
      </c>
      <c r="S1918" s="836" t="s">
        <v>6640</v>
      </c>
    </row>
    <row r="1919" spans="2:19" ht="45" customHeight="1" x14ac:dyDescent="0.25">
      <c r="B1919" s="864">
        <v>45667</v>
      </c>
      <c r="C1919" s="828">
        <v>45804</v>
      </c>
      <c r="D1919" s="823"/>
      <c r="E1919" s="848" t="s">
        <v>6988</v>
      </c>
      <c r="F1919" s="734" t="s">
        <v>6747</v>
      </c>
      <c r="G1919" s="761" t="s">
        <v>6631</v>
      </c>
      <c r="H1919" s="824" t="s">
        <v>28</v>
      </c>
      <c r="I1919" s="829" t="s">
        <v>6019</v>
      </c>
      <c r="J1919" s="830" t="s">
        <v>6225</v>
      </c>
      <c r="K1919" s="825">
        <v>6113.25</v>
      </c>
      <c r="L1919" s="826">
        <v>60.722200000000001</v>
      </c>
      <c r="M1919" s="825">
        <f t="shared" si="157"/>
        <v>100.67570015579146</v>
      </c>
      <c r="N1919" s="833">
        <v>60</v>
      </c>
      <c r="O1919" s="834">
        <f t="shared" si="153"/>
        <v>101.8875</v>
      </c>
      <c r="P1919" s="835">
        <f t="shared" ca="1" si="155"/>
        <v>6</v>
      </c>
      <c r="Q1919" s="825">
        <f t="shared" ca="1" si="154"/>
        <v>5501.9250000000002</v>
      </c>
      <c r="R1919" s="825">
        <f t="shared" ca="1" si="156"/>
        <v>5501.9250000000002</v>
      </c>
      <c r="S1919" s="836" t="s">
        <v>6640</v>
      </c>
    </row>
    <row r="1920" spans="2:19" ht="45" customHeight="1" x14ac:dyDescent="0.25">
      <c r="B1920" s="864">
        <v>45667</v>
      </c>
      <c r="C1920" s="828">
        <v>45804</v>
      </c>
      <c r="D1920" s="823"/>
      <c r="E1920" s="848" t="s">
        <v>6988</v>
      </c>
      <c r="F1920" s="734" t="s">
        <v>6748</v>
      </c>
      <c r="G1920" s="761" t="s">
        <v>6631</v>
      </c>
      <c r="H1920" s="824" t="s">
        <v>28</v>
      </c>
      <c r="I1920" s="829" t="s">
        <v>6019</v>
      </c>
      <c r="J1920" s="830" t="s">
        <v>6225</v>
      </c>
      <c r="K1920" s="825">
        <v>6113.25</v>
      </c>
      <c r="L1920" s="826">
        <v>60.722200000000001</v>
      </c>
      <c r="M1920" s="825">
        <f t="shared" si="157"/>
        <v>100.67570015579146</v>
      </c>
      <c r="N1920" s="833">
        <v>60</v>
      </c>
      <c r="O1920" s="834">
        <f t="shared" si="153"/>
        <v>101.8875</v>
      </c>
      <c r="P1920" s="835">
        <f t="shared" ca="1" si="155"/>
        <v>6</v>
      </c>
      <c r="Q1920" s="825">
        <f t="shared" ca="1" si="154"/>
        <v>5501.9250000000002</v>
      </c>
      <c r="R1920" s="825">
        <f t="shared" ca="1" si="156"/>
        <v>5501.9250000000002</v>
      </c>
      <c r="S1920" s="836" t="s">
        <v>6640</v>
      </c>
    </row>
    <row r="1921" spans="2:19" ht="45" customHeight="1" x14ac:dyDescent="0.25">
      <c r="B1921" s="864">
        <v>45667</v>
      </c>
      <c r="C1921" s="828">
        <v>45804</v>
      </c>
      <c r="D1921" s="823"/>
      <c r="E1921" s="848" t="s">
        <v>6988</v>
      </c>
      <c r="F1921" s="734" t="s">
        <v>6749</v>
      </c>
      <c r="G1921" s="761" t="s">
        <v>6631</v>
      </c>
      <c r="H1921" s="824" t="s">
        <v>28</v>
      </c>
      <c r="I1921" s="829" t="s">
        <v>6019</v>
      </c>
      <c r="J1921" s="830" t="s">
        <v>6225</v>
      </c>
      <c r="K1921" s="825">
        <v>6113.25</v>
      </c>
      <c r="L1921" s="826">
        <v>60.722200000000001</v>
      </c>
      <c r="M1921" s="825">
        <f t="shared" si="157"/>
        <v>100.67570015579146</v>
      </c>
      <c r="N1921" s="833">
        <v>60</v>
      </c>
      <c r="O1921" s="834">
        <f t="shared" si="153"/>
        <v>101.8875</v>
      </c>
      <c r="P1921" s="835">
        <f t="shared" ca="1" si="155"/>
        <v>6</v>
      </c>
      <c r="Q1921" s="825">
        <f t="shared" ca="1" si="154"/>
        <v>5501.9250000000002</v>
      </c>
      <c r="R1921" s="825">
        <f t="shared" ca="1" si="156"/>
        <v>5501.9250000000002</v>
      </c>
      <c r="S1921" s="836" t="s">
        <v>6640</v>
      </c>
    </row>
    <row r="1922" spans="2:19" ht="45" customHeight="1" x14ac:dyDescent="0.25">
      <c r="B1922" s="864">
        <v>45667</v>
      </c>
      <c r="C1922" s="828">
        <v>45804</v>
      </c>
      <c r="D1922" s="823"/>
      <c r="E1922" s="848" t="s">
        <v>6988</v>
      </c>
      <c r="F1922" s="734" t="s">
        <v>6750</v>
      </c>
      <c r="G1922" s="761" t="s">
        <v>6631</v>
      </c>
      <c r="H1922" s="824" t="s">
        <v>28</v>
      </c>
      <c r="I1922" s="829" t="s">
        <v>6019</v>
      </c>
      <c r="J1922" s="830" t="s">
        <v>6225</v>
      </c>
      <c r="K1922" s="825">
        <v>6113.25</v>
      </c>
      <c r="L1922" s="826">
        <v>60.722200000000001</v>
      </c>
      <c r="M1922" s="825">
        <f t="shared" si="157"/>
        <v>100.67570015579146</v>
      </c>
      <c r="N1922" s="833">
        <v>60</v>
      </c>
      <c r="O1922" s="834">
        <f t="shared" si="153"/>
        <v>101.8875</v>
      </c>
      <c r="P1922" s="835">
        <f t="shared" ca="1" si="155"/>
        <v>6</v>
      </c>
      <c r="Q1922" s="825">
        <f t="shared" ca="1" si="154"/>
        <v>5501.9250000000002</v>
      </c>
      <c r="R1922" s="825">
        <f t="shared" ca="1" si="156"/>
        <v>5501.9250000000002</v>
      </c>
      <c r="S1922" s="836" t="s">
        <v>6640</v>
      </c>
    </row>
    <row r="1923" spans="2:19" ht="45" customHeight="1" x14ac:dyDescent="0.25">
      <c r="B1923" s="864">
        <v>45667</v>
      </c>
      <c r="C1923" s="828">
        <v>45804</v>
      </c>
      <c r="D1923" s="823"/>
      <c r="E1923" s="848" t="s">
        <v>6988</v>
      </c>
      <c r="F1923" s="734" t="s">
        <v>6751</v>
      </c>
      <c r="G1923" s="761" t="s">
        <v>6631</v>
      </c>
      <c r="H1923" s="824" t="s">
        <v>28</v>
      </c>
      <c r="I1923" s="829" t="s">
        <v>6019</v>
      </c>
      <c r="J1923" s="830" t="s">
        <v>6225</v>
      </c>
      <c r="K1923" s="825">
        <v>6113.25</v>
      </c>
      <c r="L1923" s="826">
        <v>60.722200000000001</v>
      </c>
      <c r="M1923" s="825">
        <f t="shared" si="157"/>
        <v>100.67570015579146</v>
      </c>
      <c r="N1923" s="833">
        <v>60</v>
      </c>
      <c r="O1923" s="834">
        <f t="shared" si="153"/>
        <v>101.8875</v>
      </c>
      <c r="P1923" s="835">
        <f t="shared" ca="1" si="155"/>
        <v>6</v>
      </c>
      <c r="Q1923" s="825">
        <f t="shared" ca="1" si="154"/>
        <v>5501.9250000000002</v>
      </c>
      <c r="R1923" s="825">
        <f t="shared" ca="1" si="156"/>
        <v>5501.9250000000002</v>
      </c>
      <c r="S1923" s="836" t="s">
        <v>6640</v>
      </c>
    </row>
    <row r="1924" spans="2:19" ht="45" customHeight="1" x14ac:dyDescent="0.25">
      <c r="B1924" s="864">
        <v>45667</v>
      </c>
      <c r="C1924" s="828">
        <v>45804</v>
      </c>
      <c r="D1924" s="823"/>
      <c r="E1924" s="848" t="s">
        <v>6988</v>
      </c>
      <c r="F1924" s="734" t="s">
        <v>6752</v>
      </c>
      <c r="G1924" s="761" t="s">
        <v>6631</v>
      </c>
      <c r="H1924" s="824" t="s">
        <v>28</v>
      </c>
      <c r="I1924" s="829" t="s">
        <v>6019</v>
      </c>
      <c r="J1924" s="830" t="s">
        <v>6225</v>
      </c>
      <c r="K1924" s="825">
        <v>6113.25</v>
      </c>
      <c r="L1924" s="826">
        <v>60.722200000000001</v>
      </c>
      <c r="M1924" s="825">
        <f t="shared" si="157"/>
        <v>100.67570015579146</v>
      </c>
      <c r="N1924" s="833">
        <v>60</v>
      </c>
      <c r="O1924" s="834">
        <f t="shared" ref="O1924:O1987" si="158">+K1924/N1924</f>
        <v>101.8875</v>
      </c>
      <c r="P1924" s="835">
        <f t="shared" ca="1" si="155"/>
        <v>6</v>
      </c>
      <c r="Q1924" s="825">
        <f t="shared" ca="1" si="154"/>
        <v>5501.9250000000002</v>
      </c>
      <c r="R1924" s="825">
        <f t="shared" ca="1" si="156"/>
        <v>5501.9250000000002</v>
      </c>
      <c r="S1924" s="836" t="s">
        <v>6640</v>
      </c>
    </row>
    <row r="1925" spans="2:19" ht="45" customHeight="1" x14ac:dyDescent="0.25">
      <c r="B1925" s="864">
        <v>45667</v>
      </c>
      <c r="C1925" s="828">
        <v>45804</v>
      </c>
      <c r="D1925" s="823"/>
      <c r="E1925" s="848" t="s">
        <v>6988</v>
      </c>
      <c r="F1925" s="734" t="s">
        <v>6753</v>
      </c>
      <c r="G1925" s="761" t="s">
        <v>6631</v>
      </c>
      <c r="H1925" s="824" t="s">
        <v>28</v>
      </c>
      <c r="I1925" s="829" t="s">
        <v>6019</v>
      </c>
      <c r="J1925" s="830" t="s">
        <v>6225</v>
      </c>
      <c r="K1925" s="825">
        <v>6113.25</v>
      </c>
      <c r="L1925" s="826">
        <v>60.722200000000001</v>
      </c>
      <c r="M1925" s="825">
        <f t="shared" si="157"/>
        <v>100.67570015579146</v>
      </c>
      <c r="N1925" s="833">
        <v>60</v>
      </c>
      <c r="O1925" s="834">
        <f t="shared" si="158"/>
        <v>101.8875</v>
      </c>
      <c r="P1925" s="835">
        <f t="shared" ca="1" si="155"/>
        <v>6</v>
      </c>
      <c r="Q1925" s="825">
        <f t="shared" ca="1" si="154"/>
        <v>5501.9250000000002</v>
      </c>
      <c r="R1925" s="825">
        <f t="shared" ca="1" si="156"/>
        <v>5501.9250000000002</v>
      </c>
      <c r="S1925" s="836" t="s">
        <v>6640</v>
      </c>
    </row>
    <row r="1926" spans="2:19" ht="45" customHeight="1" x14ac:dyDescent="0.25">
      <c r="B1926" s="864">
        <v>45667</v>
      </c>
      <c r="C1926" s="828">
        <v>45804</v>
      </c>
      <c r="D1926" s="823"/>
      <c r="E1926" s="848" t="s">
        <v>6988</v>
      </c>
      <c r="F1926" s="734" t="s">
        <v>6754</v>
      </c>
      <c r="G1926" s="761" t="s">
        <v>6631</v>
      </c>
      <c r="H1926" s="824" t="s">
        <v>28</v>
      </c>
      <c r="I1926" s="829" t="s">
        <v>6019</v>
      </c>
      <c r="J1926" s="830" t="s">
        <v>6225</v>
      </c>
      <c r="K1926" s="825">
        <v>6113.25</v>
      </c>
      <c r="L1926" s="826">
        <v>60.722200000000001</v>
      </c>
      <c r="M1926" s="825">
        <f t="shared" si="157"/>
        <v>100.67570015579146</v>
      </c>
      <c r="N1926" s="833">
        <v>60</v>
      </c>
      <c r="O1926" s="834">
        <f t="shared" si="158"/>
        <v>101.8875</v>
      </c>
      <c r="P1926" s="835">
        <f t="shared" ca="1" si="155"/>
        <v>6</v>
      </c>
      <c r="Q1926" s="825">
        <f t="shared" ca="1" si="154"/>
        <v>5501.9250000000002</v>
      </c>
      <c r="R1926" s="825">
        <f t="shared" ca="1" si="156"/>
        <v>5501.9250000000002</v>
      </c>
      <c r="S1926" s="836" t="s">
        <v>6640</v>
      </c>
    </row>
    <row r="1927" spans="2:19" ht="45" customHeight="1" x14ac:dyDescent="0.25">
      <c r="B1927" s="864">
        <v>45667</v>
      </c>
      <c r="C1927" s="828">
        <v>45804</v>
      </c>
      <c r="D1927" s="823"/>
      <c r="E1927" s="848" t="s">
        <v>6988</v>
      </c>
      <c r="F1927" s="734" t="s">
        <v>6755</v>
      </c>
      <c r="G1927" s="761" t="s">
        <v>6631</v>
      </c>
      <c r="H1927" s="824" t="s">
        <v>28</v>
      </c>
      <c r="I1927" s="829" t="s">
        <v>6019</v>
      </c>
      <c r="J1927" s="830" t="s">
        <v>6225</v>
      </c>
      <c r="K1927" s="825">
        <v>6113.25</v>
      </c>
      <c r="L1927" s="826">
        <v>60.722200000000001</v>
      </c>
      <c r="M1927" s="825">
        <f t="shared" si="157"/>
        <v>100.67570015579146</v>
      </c>
      <c r="N1927" s="833">
        <v>60</v>
      </c>
      <c r="O1927" s="834">
        <f t="shared" si="158"/>
        <v>101.8875</v>
      </c>
      <c r="P1927" s="835">
        <f t="shared" ca="1" si="155"/>
        <v>6</v>
      </c>
      <c r="Q1927" s="825">
        <f t="shared" ca="1" si="154"/>
        <v>5501.9250000000002</v>
      </c>
      <c r="R1927" s="825">
        <f t="shared" ca="1" si="156"/>
        <v>5501.9250000000002</v>
      </c>
      <c r="S1927" s="836" t="s">
        <v>6640</v>
      </c>
    </row>
    <row r="1928" spans="2:19" ht="45" customHeight="1" x14ac:dyDescent="0.25">
      <c r="B1928" s="864">
        <v>45667</v>
      </c>
      <c r="C1928" s="828">
        <v>45804</v>
      </c>
      <c r="D1928" s="823"/>
      <c r="E1928" s="848" t="s">
        <v>6988</v>
      </c>
      <c r="F1928" s="734" t="s">
        <v>6756</v>
      </c>
      <c r="G1928" s="761" t="s">
        <v>6631</v>
      </c>
      <c r="H1928" s="824" t="s">
        <v>28</v>
      </c>
      <c r="I1928" s="829" t="s">
        <v>6019</v>
      </c>
      <c r="J1928" s="830" t="s">
        <v>6225</v>
      </c>
      <c r="K1928" s="825">
        <v>6113.25</v>
      </c>
      <c r="L1928" s="826">
        <v>60.722200000000001</v>
      </c>
      <c r="M1928" s="825">
        <f t="shared" si="157"/>
        <v>100.67570015579146</v>
      </c>
      <c r="N1928" s="833">
        <v>60</v>
      </c>
      <c r="O1928" s="834">
        <f t="shared" si="158"/>
        <v>101.8875</v>
      </c>
      <c r="P1928" s="835">
        <f t="shared" ca="1" si="155"/>
        <v>6</v>
      </c>
      <c r="Q1928" s="825">
        <f t="shared" ca="1" si="154"/>
        <v>5501.9250000000002</v>
      </c>
      <c r="R1928" s="825">
        <f t="shared" ca="1" si="156"/>
        <v>5501.9250000000002</v>
      </c>
      <c r="S1928" s="836" t="s">
        <v>6640</v>
      </c>
    </row>
    <row r="1929" spans="2:19" ht="45" customHeight="1" x14ac:dyDescent="0.25">
      <c r="B1929" s="864">
        <v>45667</v>
      </c>
      <c r="C1929" s="828">
        <v>45804</v>
      </c>
      <c r="D1929" s="823"/>
      <c r="E1929" s="848" t="s">
        <v>6988</v>
      </c>
      <c r="F1929" s="734" t="s">
        <v>6757</v>
      </c>
      <c r="G1929" s="761" t="s">
        <v>6631</v>
      </c>
      <c r="H1929" s="824" t="s">
        <v>28</v>
      </c>
      <c r="I1929" s="829" t="s">
        <v>6019</v>
      </c>
      <c r="J1929" s="830" t="s">
        <v>6225</v>
      </c>
      <c r="K1929" s="825">
        <v>6113.25</v>
      </c>
      <c r="L1929" s="826">
        <v>60.722200000000001</v>
      </c>
      <c r="M1929" s="825">
        <f t="shared" si="157"/>
        <v>100.67570015579146</v>
      </c>
      <c r="N1929" s="833">
        <v>60</v>
      </c>
      <c r="O1929" s="834">
        <f t="shared" si="158"/>
        <v>101.8875</v>
      </c>
      <c r="P1929" s="835">
        <f t="shared" ca="1" si="155"/>
        <v>6</v>
      </c>
      <c r="Q1929" s="825">
        <f t="shared" ca="1" si="154"/>
        <v>5501.9250000000002</v>
      </c>
      <c r="R1929" s="825">
        <f t="shared" ca="1" si="156"/>
        <v>5501.9250000000002</v>
      </c>
      <c r="S1929" s="836" t="s">
        <v>6640</v>
      </c>
    </row>
    <row r="1930" spans="2:19" ht="45" customHeight="1" x14ac:dyDescent="0.25">
      <c r="B1930" s="864">
        <v>45667</v>
      </c>
      <c r="C1930" s="828">
        <v>45804</v>
      </c>
      <c r="D1930" s="823"/>
      <c r="E1930" s="848" t="s">
        <v>6988</v>
      </c>
      <c r="F1930" s="734" t="s">
        <v>6758</v>
      </c>
      <c r="G1930" s="761" t="s">
        <v>6631</v>
      </c>
      <c r="H1930" s="824" t="s">
        <v>28</v>
      </c>
      <c r="I1930" s="829" t="s">
        <v>6019</v>
      </c>
      <c r="J1930" s="830" t="s">
        <v>6225</v>
      </c>
      <c r="K1930" s="825">
        <v>6113.25</v>
      </c>
      <c r="L1930" s="826">
        <v>60.722200000000001</v>
      </c>
      <c r="M1930" s="825">
        <f t="shared" si="157"/>
        <v>100.67570015579146</v>
      </c>
      <c r="N1930" s="833">
        <v>60</v>
      </c>
      <c r="O1930" s="834">
        <f t="shared" si="158"/>
        <v>101.8875</v>
      </c>
      <c r="P1930" s="835">
        <f t="shared" ca="1" si="155"/>
        <v>6</v>
      </c>
      <c r="Q1930" s="825">
        <f t="shared" ca="1" si="154"/>
        <v>5501.9250000000002</v>
      </c>
      <c r="R1930" s="825">
        <f t="shared" ca="1" si="156"/>
        <v>5501.9250000000002</v>
      </c>
      <c r="S1930" s="836" t="s">
        <v>6640</v>
      </c>
    </row>
    <row r="1931" spans="2:19" ht="45" customHeight="1" x14ac:dyDescent="0.25">
      <c r="B1931" s="864">
        <v>45667</v>
      </c>
      <c r="C1931" s="828">
        <v>45805</v>
      </c>
      <c r="D1931" s="823"/>
      <c r="E1931" s="848" t="s">
        <v>6988</v>
      </c>
      <c r="F1931" s="734" t="s">
        <v>6759</v>
      </c>
      <c r="G1931" s="761" t="s">
        <v>6632</v>
      </c>
      <c r="H1931" s="824" t="s">
        <v>28</v>
      </c>
      <c r="I1931" s="829" t="s">
        <v>6019</v>
      </c>
      <c r="J1931" s="830" t="s">
        <v>6225</v>
      </c>
      <c r="K1931" s="825">
        <v>17688.2</v>
      </c>
      <c r="L1931" s="826">
        <v>60.722200000000001</v>
      </c>
      <c r="M1931" s="825">
        <f t="shared" si="157"/>
        <v>291.29708739143183</v>
      </c>
      <c r="N1931" s="833">
        <v>60</v>
      </c>
      <c r="O1931" s="834">
        <f t="shared" si="158"/>
        <v>294.80333333333334</v>
      </c>
      <c r="P1931" s="835">
        <f t="shared" ca="1" si="155"/>
        <v>6</v>
      </c>
      <c r="Q1931" s="825">
        <f t="shared" ca="1" si="154"/>
        <v>15919.380000000001</v>
      </c>
      <c r="R1931" s="825">
        <f t="shared" ca="1" si="156"/>
        <v>15919.380000000001</v>
      </c>
      <c r="S1931" s="836" t="s">
        <v>6640</v>
      </c>
    </row>
    <row r="1932" spans="2:19" ht="45" customHeight="1" x14ac:dyDescent="0.25">
      <c r="B1932" s="864">
        <v>45667</v>
      </c>
      <c r="C1932" s="828">
        <v>45805</v>
      </c>
      <c r="D1932" s="823"/>
      <c r="E1932" s="848" t="s">
        <v>6988</v>
      </c>
      <c r="F1932" s="734" t="s">
        <v>6760</v>
      </c>
      <c r="G1932" s="761" t="s">
        <v>6632</v>
      </c>
      <c r="H1932" s="824" t="s">
        <v>28</v>
      </c>
      <c r="I1932" s="829" t="s">
        <v>6019</v>
      </c>
      <c r="J1932" s="830" t="s">
        <v>6225</v>
      </c>
      <c r="K1932" s="825">
        <v>17688.2</v>
      </c>
      <c r="L1932" s="826">
        <v>60.722200000000001</v>
      </c>
      <c r="M1932" s="825">
        <f t="shared" si="157"/>
        <v>291.29708739143183</v>
      </c>
      <c r="N1932" s="833">
        <v>60</v>
      </c>
      <c r="O1932" s="834">
        <f t="shared" si="158"/>
        <v>294.80333333333334</v>
      </c>
      <c r="P1932" s="835">
        <f t="shared" ca="1" si="155"/>
        <v>6</v>
      </c>
      <c r="Q1932" s="825">
        <f t="shared" ca="1" si="154"/>
        <v>15919.380000000001</v>
      </c>
      <c r="R1932" s="825">
        <f t="shared" ca="1" si="156"/>
        <v>15919.380000000001</v>
      </c>
      <c r="S1932" s="836" t="s">
        <v>6640</v>
      </c>
    </row>
    <row r="1933" spans="2:19" ht="45" customHeight="1" x14ac:dyDescent="0.25">
      <c r="B1933" s="864">
        <v>45667</v>
      </c>
      <c r="C1933" s="828">
        <v>45805</v>
      </c>
      <c r="D1933" s="823"/>
      <c r="E1933" s="848" t="s">
        <v>6988</v>
      </c>
      <c r="F1933" s="734" t="s">
        <v>6761</v>
      </c>
      <c r="G1933" s="761" t="s">
        <v>6632</v>
      </c>
      <c r="H1933" s="824" t="s">
        <v>28</v>
      </c>
      <c r="I1933" s="829" t="s">
        <v>6019</v>
      </c>
      <c r="J1933" s="830" t="s">
        <v>6225</v>
      </c>
      <c r="K1933" s="825">
        <v>17688.2</v>
      </c>
      <c r="L1933" s="826">
        <v>60.722200000000001</v>
      </c>
      <c r="M1933" s="825">
        <f t="shared" si="157"/>
        <v>291.29708739143183</v>
      </c>
      <c r="N1933" s="833">
        <v>60</v>
      </c>
      <c r="O1933" s="834">
        <f t="shared" si="158"/>
        <v>294.80333333333334</v>
      </c>
      <c r="P1933" s="835">
        <f t="shared" ca="1" si="155"/>
        <v>6</v>
      </c>
      <c r="Q1933" s="825">
        <f t="shared" ca="1" si="154"/>
        <v>15919.380000000001</v>
      </c>
      <c r="R1933" s="825">
        <f t="shared" ca="1" si="156"/>
        <v>15919.380000000001</v>
      </c>
      <c r="S1933" s="836" t="s">
        <v>6640</v>
      </c>
    </row>
    <row r="1934" spans="2:19" ht="45" customHeight="1" x14ac:dyDescent="0.25">
      <c r="B1934" s="864">
        <v>45667</v>
      </c>
      <c r="C1934" s="828">
        <v>45819</v>
      </c>
      <c r="D1934" s="823"/>
      <c r="E1934" s="848" t="s">
        <v>6988</v>
      </c>
      <c r="F1934" s="734" t="s">
        <v>6762</v>
      </c>
      <c r="G1934" s="761" t="s">
        <v>6632</v>
      </c>
      <c r="H1934" s="824" t="s">
        <v>28</v>
      </c>
      <c r="I1934" s="829" t="s">
        <v>6019</v>
      </c>
      <c r="J1934" s="830" t="s">
        <v>6225</v>
      </c>
      <c r="K1934" s="825">
        <v>17688.2</v>
      </c>
      <c r="L1934" s="826">
        <v>60.722200000000001</v>
      </c>
      <c r="M1934" s="825">
        <f t="shared" si="157"/>
        <v>291.29708739143183</v>
      </c>
      <c r="N1934" s="833">
        <v>60</v>
      </c>
      <c r="O1934" s="834">
        <f t="shared" si="158"/>
        <v>294.80333333333334</v>
      </c>
      <c r="P1934" s="835">
        <f t="shared" ca="1" si="155"/>
        <v>6</v>
      </c>
      <c r="Q1934" s="825">
        <f t="shared" ca="1" si="154"/>
        <v>15919.380000000001</v>
      </c>
      <c r="R1934" s="825">
        <f t="shared" ca="1" si="156"/>
        <v>15919.380000000001</v>
      </c>
      <c r="S1934" s="836" t="s">
        <v>6640</v>
      </c>
    </row>
    <row r="1935" spans="2:19" ht="45" customHeight="1" x14ac:dyDescent="0.25">
      <c r="B1935" s="864">
        <v>45667</v>
      </c>
      <c r="C1935" s="828">
        <v>45805</v>
      </c>
      <c r="D1935" s="823"/>
      <c r="E1935" s="848" t="s">
        <v>6988</v>
      </c>
      <c r="F1935" s="734" t="s">
        <v>6681</v>
      </c>
      <c r="G1935" s="761" t="s">
        <v>6627</v>
      </c>
      <c r="H1935" s="824" t="s">
        <v>28</v>
      </c>
      <c r="I1935" s="829" t="s">
        <v>6019</v>
      </c>
      <c r="J1935" s="830" t="s">
        <v>6225</v>
      </c>
      <c r="K1935" s="825">
        <v>78851.14</v>
      </c>
      <c r="L1935" s="826">
        <v>60.722200000000001</v>
      </c>
      <c r="M1935" s="825">
        <f t="shared" si="157"/>
        <v>1298.5553883093828</v>
      </c>
      <c r="N1935" s="833">
        <v>60</v>
      </c>
      <c r="O1935" s="834">
        <f t="shared" si="158"/>
        <v>1314.1856666666667</v>
      </c>
      <c r="P1935" s="835">
        <f t="shared" ca="1" si="155"/>
        <v>6</v>
      </c>
      <c r="Q1935" s="825">
        <f t="shared" ca="1" si="154"/>
        <v>70966.025999999998</v>
      </c>
      <c r="R1935" s="825">
        <f t="shared" ca="1" si="156"/>
        <v>70966.025999999998</v>
      </c>
      <c r="S1935" s="836" t="s">
        <v>6640</v>
      </c>
    </row>
    <row r="1936" spans="2:19" ht="45" customHeight="1" x14ac:dyDescent="0.25">
      <c r="B1936" s="864">
        <v>45667</v>
      </c>
      <c r="C1936" s="828">
        <v>45805</v>
      </c>
      <c r="D1936" s="823"/>
      <c r="E1936" s="848" t="s">
        <v>6988</v>
      </c>
      <c r="F1936" s="734" t="s">
        <v>6682</v>
      </c>
      <c r="G1936" s="761" t="s">
        <v>6627</v>
      </c>
      <c r="H1936" s="824" t="s">
        <v>28</v>
      </c>
      <c r="I1936" s="829" t="s">
        <v>6019</v>
      </c>
      <c r="J1936" s="830" t="s">
        <v>6225</v>
      </c>
      <c r="K1936" s="825">
        <v>78851.14</v>
      </c>
      <c r="L1936" s="826">
        <v>60.722200000000001</v>
      </c>
      <c r="M1936" s="825">
        <f t="shared" si="157"/>
        <v>1298.5553883093828</v>
      </c>
      <c r="N1936" s="833">
        <v>60</v>
      </c>
      <c r="O1936" s="834">
        <f t="shared" si="158"/>
        <v>1314.1856666666667</v>
      </c>
      <c r="P1936" s="835">
        <f t="shared" ca="1" si="155"/>
        <v>6</v>
      </c>
      <c r="Q1936" s="825">
        <f t="shared" ca="1" si="154"/>
        <v>70966.025999999998</v>
      </c>
      <c r="R1936" s="825">
        <f t="shared" ca="1" si="156"/>
        <v>70966.025999999998</v>
      </c>
      <c r="S1936" s="836" t="s">
        <v>6640</v>
      </c>
    </row>
    <row r="1937" spans="2:19" ht="45" customHeight="1" x14ac:dyDescent="0.25">
      <c r="B1937" s="864">
        <v>45667</v>
      </c>
      <c r="C1937" s="828">
        <v>45811</v>
      </c>
      <c r="D1937" s="823"/>
      <c r="E1937" s="848" t="s">
        <v>6988</v>
      </c>
      <c r="F1937" s="734" t="s">
        <v>6676</v>
      </c>
      <c r="G1937" s="761" t="s">
        <v>6626</v>
      </c>
      <c r="H1937" s="824" t="s">
        <v>28</v>
      </c>
      <c r="I1937" s="829" t="s">
        <v>6019</v>
      </c>
      <c r="J1937" s="830" t="s">
        <v>6225</v>
      </c>
      <c r="K1937" s="825">
        <v>16950.060000000001</v>
      </c>
      <c r="L1937" s="826">
        <v>60.722200000000001</v>
      </c>
      <c r="M1937" s="825">
        <f t="shared" si="157"/>
        <v>279.14107196379581</v>
      </c>
      <c r="N1937" s="833">
        <v>60</v>
      </c>
      <c r="O1937" s="834">
        <f t="shared" si="158"/>
        <v>282.50100000000003</v>
      </c>
      <c r="P1937" s="835">
        <f t="shared" ca="1" si="155"/>
        <v>6</v>
      </c>
      <c r="Q1937" s="825">
        <f t="shared" ref="Q1937:Q2000" ca="1" si="159">IF(OR(K1937=0,N1937=0,P1937=0),0,K1937-(O1937*P1937))</f>
        <v>15255.054</v>
      </c>
      <c r="R1937" s="825">
        <f t="shared" ca="1" si="156"/>
        <v>15255.054</v>
      </c>
      <c r="S1937" s="836" t="s">
        <v>6640</v>
      </c>
    </row>
    <row r="1938" spans="2:19" ht="51" customHeight="1" x14ac:dyDescent="0.25">
      <c r="B1938" s="864">
        <v>45667</v>
      </c>
      <c r="C1938" s="828">
        <v>45811</v>
      </c>
      <c r="D1938" s="823"/>
      <c r="E1938" s="848" t="s">
        <v>6988</v>
      </c>
      <c r="F1938" s="734" t="s">
        <v>6677</v>
      </c>
      <c r="G1938" s="761" t="s">
        <v>6626</v>
      </c>
      <c r="H1938" s="824" t="s">
        <v>28</v>
      </c>
      <c r="I1938" s="829" t="s">
        <v>6019</v>
      </c>
      <c r="J1938" s="830" t="s">
        <v>6225</v>
      </c>
      <c r="K1938" s="825">
        <v>16950.060000000001</v>
      </c>
      <c r="L1938" s="826">
        <v>60.722200000000001</v>
      </c>
      <c r="M1938" s="825">
        <f t="shared" si="157"/>
        <v>279.14107196379581</v>
      </c>
      <c r="N1938" s="833">
        <v>60</v>
      </c>
      <c r="O1938" s="834">
        <f t="shared" si="158"/>
        <v>282.50100000000003</v>
      </c>
      <c r="P1938" s="835">
        <f t="shared" ca="1" si="155"/>
        <v>6</v>
      </c>
      <c r="Q1938" s="825">
        <f t="shared" ca="1" si="159"/>
        <v>15255.054</v>
      </c>
      <c r="R1938" s="825">
        <f t="shared" ca="1" si="156"/>
        <v>15255.054</v>
      </c>
      <c r="S1938" s="836" t="s">
        <v>6640</v>
      </c>
    </row>
    <row r="1939" spans="2:19" ht="45" customHeight="1" x14ac:dyDescent="0.25">
      <c r="B1939" s="864">
        <v>45667</v>
      </c>
      <c r="C1939" s="828">
        <v>45811</v>
      </c>
      <c r="D1939" s="823"/>
      <c r="E1939" s="848" t="s">
        <v>6988</v>
      </c>
      <c r="F1939" s="734" t="s">
        <v>6678</v>
      </c>
      <c r="G1939" s="761" t="s">
        <v>6626</v>
      </c>
      <c r="H1939" s="824" t="s">
        <v>28</v>
      </c>
      <c r="I1939" s="829" t="s">
        <v>6019</v>
      </c>
      <c r="J1939" s="830" t="s">
        <v>6225</v>
      </c>
      <c r="K1939" s="825">
        <v>16950.060000000001</v>
      </c>
      <c r="L1939" s="826">
        <v>60.722200000000001</v>
      </c>
      <c r="M1939" s="825">
        <f t="shared" si="157"/>
        <v>279.14107196379581</v>
      </c>
      <c r="N1939" s="833">
        <v>60</v>
      </c>
      <c r="O1939" s="834">
        <f t="shared" si="158"/>
        <v>282.50100000000003</v>
      </c>
      <c r="P1939" s="835">
        <f t="shared" ca="1" si="155"/>
        <v>6</v>
      </c>
      <c r="Q1939" s="825">
        <f t="shared" ca="1" si="159"/>
        <v>15255.054</v>
      </c>
      <c r="R1939" s="825">
        <f t="shared" ca="1" si="156"/>
        <v>15255.054</v>
      </c>
      <c r="S1939" s="836" t="s">
        <v>6640</v>
      </c>
    </row>
    <row r="1940" spans="2:19" ht="45" customHeight="1" x14ac:dyDescent="0.25">
      <c r="B1940" s="864">
        <v>45667</v>
      </c>
      <c r="C1940" s="828">
        <v>45811</v>
      </c>
      <c r="D1940" s="823"/>
      <c r="E1940" s="848" t="s">
        <v>6988</v>
      </c>
      <c r="F1940" s="734" t="s">
        <v>6679</v>
      </c>
      <c r="G1940" s="761" t="s">
        <v>6626</v>
      </c>
      <c r="H1940" s="824" t="s">
        <v>28</v>
      </c>
      <c r="I1940" s="829" t="s">
        <v>6019</v>
      </c>
      <c r="J1940" s="830" t="s">
        <v>6225</v>
      </c>
      <c r="K1940" s="825">
        <v>16950.060000000001</v>
      </c>
      <c r="L1940" s="826">
        <v>60.722200000000001</v>
      </c>
      <c r="M1940" s="825">
        <f t="shared" si="157"/>
        <v>279.14107196379581</v>
      </c>
      <c r="N1940" s="833">
        <v>60</v>
      </c>
      <c r="O1940" s="834">
        <f t="shared" si="158"/>
        <v>282.50100000000003</v>
      </c>
      <c r="P1940" s="835">
        <f t="shared" ca="1" si="155"/>
        <v>6</v>
      </c>
      <c r="Q1940" s="825">
        <f t="shared" ca="1" si="159"/>
        <v>15255.054</v>
      </c>
      <c r="R1940" s="825">
        <f t="shared" ca="1" si="156"/>
        <v>15255.054</v>
      </c>
      <c r="S1940" s="836" t="s">
        <v>6640</v>
      </c>
    </row>
    <row r="1941" spans="2:19" ht="45" customHeight="1" x14ac:dyDescent="0.25">
      <c r="B1941" s="864">
        <v>45667</v>
      </c>
      <c r="C1941" s="828">
        <v>45811</v>
      </c>
      <c r="D1941" s="823"/>
      <c r="E1941" s="848" t="s">
        <v>6988</v>
      </c>
      <c r="F1941" s="734" t="s">
        <v>6680</v>
      </c>
      <c r="G1941" s="761" t="s">
        <v>6626</v>
      </c>
      <c r="H1941" s="824" t="s">
        <v>28</v>
      </c>
      <c r="I1941" s="829" t="s">
        <v>6019</v>
      </c>
      <c r="J1941" s="830" t="s">
        <v>6225</v>
      </c>
      <c r="K1941" s="825">
        <v>16950.060000000001</v>
      </c>
      <c r="L1941" s="826">
        <v>60.722200000000001</v>
      </c>
      <c r="M1941" s="825">
        <f t="shared" si="157"/>
        <v>279.14107196379581</v>
      </c>
      <c r="N1941" s="833">
        <v>60</v>
      </c>
      <c r="O1941" s="834">
        <f t="shared" si="158"/>
        <v>282.50100000000003</v>
      </c>
      <c r="P1941" s="835">
        <f t="shared" ca="1" si="155"/>
        <v>6</v>
      </c>
      <c r="Q1941" s="825">
        <f t="shared" ca="1" si="159"/>
        <v>15255.054</v>
      </c>
      <c r="R1941" s="825">
        <f t="shared" ca="1" si="156"/>
        <v>15255.054</v>
      </c>
      <c r="S1941" s="836" t="s">
        <v>6640</v>
      </c>
    </row>
    <row r="1942" spans="2:19" ht="45" customHeight="1" x14ac:dyDescent="0.25">
      <c r="B1942" s="864">
        <v>45667</v>
      </c>
      <c r="C1942" s="828" t="s">
        <v>7084</v>
      </c>
      <c r="D1942" s="823"/>
      <c r="E1942" s="848" t="s">
        <v>6988</v>
      </c>
      <c r="F1942" s="734" t="s">
        <v>6838</v>
      </c>
      <c r="G1942" s="761" t="s">
        <v>7085</v>
      </c>
      <c r="H1942" s="824" t="s">
        <v>28</v>
      </c>
      <c r="I1942" s="829" t="s">
        <v>6019</v>
      </c>
      <c r="J1942" s="830" t="s">
        <v>6225</v>
      </c>
      <c r="K1942" s="825">
        <v>13636.08</v>
      </c>
      <c r="L1942" s="826">
        <v>60.722200000000001</v>
      </c>
      <c r="M1942" s="825">
        <f t="shared" si="157"/>
        <v>224.56498611710379</v>
      </c>
      <c r="N1942" s="833">
        <v>60</v>
      </c>
      <c r="O1942" s="834">
        <f t="shared" si="158"/>
        <v>227.268</v>
      </c>
      <c r="P1942" s="835">
        <f t="shared" ca="1" si="155"/>
        <v>6</v>
      </c>
      <c r="Q1942" s="825">
        <f t="shared" ca="1" si="159"/>
        <v>12272.472</v>
      </c>
      <c r="R1942" s="825">
        <f t="shared" ca="1" si="156"/>
        <v>12272.472</v>
      </c>
      <c r="S1942" s="836" t="s">
        <v>6640</v>
      </c>
    </row>
    <row r="1943" spans="2:19" ht="45" customHeight="1" x14ac:dyDescent="0.25">
      <c r="B1943" s="864">
        <v>45667</v>
      </c>
      <c r="C1943" s="828" t="s">
        <v>7084</v>
      </c>
      <c r="D1943" s="823"/>
      <c r="E1943" s="848" t="s">
        <v>6988</v>
      </c>
      <c r="F1943" s="734" t="s">
        <v>6839</v>
      </c>
      <c r="G1943" s="761" t="s">
        <v>7085</v>
      </c>
      <c r="H1943" s="824" t="s">
        <v>28</v>
      </c>
      <c r="I1943" s="829" t="s">
        <v>6019</v>
      </c>
      <c r="J1943" s="830" t="s">
        <v>6225</v>
      </c>
      <c r="K1943" s="825">
        <v>13636.08</v>
      </c>
      <c r="L1943" s="826">
        <v>60.722200000000001</v>
      </c>
      <c r="M1943" s="825">
        <f t="shared" si="157"/>
        <v>224.56498611710379</v>
      </c>
      <c r="N1943" s="833">
        <v>60</v>
      </c>
      <c r="O1943" s="834">
        <f t="shared" si="158"/>
        <v>227.268</v>
      </c>
      <c r="P1943" s="835">
        <f t="shared" ref="P1943:P2006" ca="1" si="160">IF(B1943&lt;&gt;0,(ROUND((NOW()-B1943)/30,0)),0)</f>
        <v>6</v>
      </c>
      <c r="Q1943" s="825">
        <f t="shared" ca="1" si="159"/>
        <v>12272.472</v>
      </c>
      <c r="R1943" s="825">
        <f t="shared" ref="R1943:R2006" ca="1" si="161">IF(Q1943&lt;1,1,Q1943)</f>
        <v>12272.472</v>
      </c>
      <c r="S1943" s="836" t="s">
        <v>6640</v>
      </c>
    </row>
    <row r="1944" spans="2:19" ht="45" customHeight="1" x14ac:dyDescent="0.25">
      <c r="B1944" s="864">
        <v>45667</v>
      </c>
      <c r="C1944" s="828" t="s">
        <v>7084</v>
      </c>
      <c r="D1944" s="823"/>
      <c r="E1944" s="848" t="s">
        <v>6988</v>
      </c>
      <c r="F1944" s="734" t="s">
        <v>6840</v>
      </c>
      <c r="G1944" s="761" t="s">
        <v>7085</v>
      </c>
      <c r="H1944" s="824" t="s">
        <v>28</v>
      </c>
      <c r="I1944" s="829" t="s">
        <v>6019</v>
      </c>
      <c r="J1944" s="830" t="s">
        <v>6225</v>
      </c>
      <c r="K1944" s="825">
        <v>13636.08</v>
      </c>
      <c r="L1944" s="826">
        <v>60.722200000000001</v>
      </c>
      <c r="M1944" s="825">
        <f t="shared" si="157"/>
        <v>224.56498611710379</v>
      </c>
      <c r="N1944" s="833">
        <v>60</v>
      </c>
      <c r="O1944" s="834">
        <f t="shared" si="158"/>
        <v>227.268</v>
      </c>
      <c r="P1944" s="835">
        <f t="shared" ca="1" si="160"/>
        <v>6</v>
      </c>
      <c r="Q1944" s="825">
        <f t="shared" ca="1" si="159"/>
        <v>12272.472</v>
      </c>
      <c r="R1944" s="825">
        <f t="shared" ca="1" si="161"/>
        <v>12272.472</v>
      </c>
      <c r="S1944" s="836" t="s">
        <v>6640</v>
      </c>
    </row>
    <row r="1945" spans="2:19" ht="45" customHeight="1" x14ac:dyDescent="0.25">
      <c r="B1945" s="864">
        <v>45667</v>
      </c>
      <c r="C1945" s="828" t="s">
        <v>7084</v>
      </c>
      <c r="D1945" s="823"/>
      <c r="E1945" s="848" t="s">
        <v>6988</v>
      </c>
      <c r="F1945" s="734" t="s">
        <v>6841</v>
      </c>
      <c r="G1945" s="761" t="s">
        <v>7085</v>
      </c>
      <c r="H1945" s="824" t="s">
        <v>28</v>
      </c>
      <c r="I1945" s="829" t="s">
        <v>6019</v>
      </c>
      <c r="J1945" s="830" t="s">
        <v>6225</v>
      </c>
      <c r="K1945" s="825">
        <v>13636.08</v>
      </c>
      <c r="L1945" s="826">
        <v>60.722200000000001</v>
      </c>
      <c r="M1945" s="825">
        <f t="shared" si="157"/>
        <v>224.56498611710379</v>
      </c>
      <c r="N1945" s="833">
        <v>60</v>
      </c>
      <c r="O1945" s="834">
        <f t="shared" si="158"/>
        <v>227.268</v>
      </c>
      <c r="P1945" s="835">
        <f t="shared" ca="1" si="160"/>
        <v>6</v>
      </c>
      <c r="Q1945" s="825">
        <f t="shared" ca="1" si="159"/>
        <v>12272.472</v>
      </c>
      <c r="R1945" s="825">
        <f t="shared" ca="1" si="161"/>
        <v>12272.472</v>
      </c>
      <c r="S1945" s="836" t="s">
        <v>6640</v>
      </c>
    </row>
    <row r="1946" spans="2:19" ht="45" customHeight="1" x14ac:dyDescent="0.25">
      <c r="B1946" s="864">
        <v>45667</v>
      </c>
      <c r="C1946" s="828" t="s">
        <v>7084</v>
      </c>
      <c r="D1946" s="823"/>
      <c r="E1946" s="848" t="s">
        <v>6988</v>
      </c>
      <c r="F1946" s="734" t="s">
        <v>6842</v>
      </c>
      <c r="G1946" s="761" t="s">
        <v>7085</v>
      </c>
      <c r="H1946" s="824" t="s">
        <v>28</v>
      </c>
      <c r="I1946" s="829" t="s">
        <v>6019</v>
      </c>
      <c r="J1946" s="830" t="s">
        <v>6225</v>
      </c>
      <c r="K1946" s="825">
        <v>13636.08</v>
      </c>
      <c r="L1946" s="826">
        <v>60.722200000000001</v>
      </c>
      <c r="M1946" s="825">
        <f t="shared" si="157"/>
        <v>224.56498611710379</v>
      </c>
      <c r="N1946" s="833">
        <v>60</v>
      </c>
      <c r="O1946" s="834">
        <f t="shared" si="158"/>
        <v>227.268</v>
      </c>
      <c r="P1946" s="835">
        <f t="shared" ca="1" si="160"/>
        <v>6</v>
      </c>
      <c r="Q1946" s="825">
        <f t="shared" ca="1" si="159"/>
        <v>12272.472</v>
      </c>
      <c r="R1946" s="825">
        <f t="shared" ca="1" si="161"/>
        <v>12272.472</v>
      </c>
      <c r="S1946" s="836" t="s">
        <v>6640</v>
      </c>
    </row>
    <row r="1947" spans="2:19" ht="45" customHeight="1" x14ac:dyDescent="0.25">
      <c r="B1947" s="864">
        <v>45667</v>
      </c>
      <c r="C1947" s="828" t="s">
        <v>7084</v>
      </c>
      <c r="D1947" s="823"/>
      <c r="E1947" s="848" t="s">
        <v>6988</v>
      </c>
      <c r="F1947" s="734" t="s">
        <v>6843</v>
      </c>
      <c r="G1947" s="761" t="s">
        <v>7085</v>
      </c>
      <c r="H1947" s="824" t="s">
        <v>28</v>
      </c>
      <c r="I1947" s="829" t="s">
        <v>6019</v>
      </c>
      <c r="J1947" s="830" t="s">
        <v>6225</v>
      </c>
      <c r="K1947" s="825">
        <v>13636.08</v>
      </c>
      <c r="L1947" s="826">
        <v>60.722200000000001</v>
      </c>
      <c r="M1947" s="825">
        <f t="shared" si="157"/>
        <v>224.56498611710379</v>
      </c>
      <c r="N1947" s="833">
        <v>60</v>
      </c>
      <c r="O1947" s="834">
        <f t="shared" si="158"/>
        <v>227.268</v>
      </c>
      <c r="P1947" s="835">
        <f t="shared" ca="1" si="160"/>
        <v>6</v>
      </c>
      <c r="Q1947" s="825">
        <f t="shared" ca="1" si="159"/>
        <v>12272.472</v>
      </c>
      <c r="R1947" s="825">
        <f t="shared" ca="1" si="161"/>
        <v>12272.472</v>
      </c>
      <c r="S1947" s="836" t="s">
        <v>6640</v>
      </c>
    </row>
    <row r="1948" spans="2:19" ht="45" customHeight="1" x14ac:dyDescent="0.25">
      <c r="B1948" s="864">
        <v>45667</v>
      </c>
      <c r="C1948" s="828">
        <v>45811</v>
      </c>
      <c r="D1948" s="823"/>
      <c r="E1948" s="848" t="s">
        <v>6988</v>
      </c>
      <c r="F1948" s="734" t="s">
        <v>6763</v>
      </c>
      <c r="G1948" s="761" t="s">
        <v>6633</v>
      </c>
      <c r="H1948" s="824" t="s">
        <v>28</v>
      </c>
      <c r="I1948" s="829" t="s">
        <v>6019</v>
      </c>
      <c r="J1948" s="830" t="s">
        <v>6225</v>
      </c>
      <c r="K1948" s="825">
        <v>10422</v>
      </c>
      <c r="L1948" s="826">
        <v>60.722200000000001</v>
      </c>
      <c r="M1948" s="825">
        <f t="shared" si="157"/>
        <v>171.63409757880973</v>
      </c>
      <c r="N1948" s="833">
        <v>60</v>
      </c>
      <c r="O1948" s="834">
        <f t="shared" si="158"/>
        <v>173.7</v>
      </c>
      <c r="P1948" s="835">
        <f t="shared" ca="1" si="160"/>
        <v>6</v>
      </c>
      <c r="Q1948" s="825">
        <f t="shared" ca="1" si="159"/>
        <v>9379.7999999999993</v>
      </c>
      <c r="R1948" s="825">
        <f t="shared" ca="1" si="161"/>
        <v>9379.7999999999993</v>
      </c>
      <c r="S1948" s="836" t="s">
        <v>6640</v>
      </c>
    </row>
    <row r="1949" spans="2:19" ht="45" customHeight="1" x14ac:dyDescent="0.25">
      <c r="B1949" s="864">
        <v>45667</v>
      </c>
      <c r="C1949" s="828">
        <v>45811</v>
      </c>
      <c r="D1949" s="823"/>
      <c r="E1949" s="848" t="s">
        <v>6988</v>
      </c>
      <c r="F1949" s="734" t="s">
        <v>6764</v>
      </c>
      <c r="G1949" s="761" t="s">
        <v>6633</v>
      </c>
      <c r="H1949" s="824" t="s">
        <v>28</v>
      </c>
      <c r="I1949" s="829" t="s">
        <v>6019</v>
      </c>
      <c r="J1949" s="830" t="s">
        <v>6225</v>
      </c>
      <c r="K1949" s="825">
        <v>10422</v>
      </c>
      <c r="L1949" s="826">
        <v>60.722200000000001</v>
      </c>
      <c r="M1949" s="825">
        <f t="shared" si="157"/>
        <v>171.63409757880973</v>
      </c>
      <c r="N1949" s="833">
        <v>60</v>
      </c>
      <c r="O1949" s="834">
        <f t="shared" si="158"/>
        <v>173.7</v>
      </c>
      <c r="P1949" s="835">
        <f t="shared" ca="1" si="160"/>
        <v>6</v>
      </c>
      <c r="Q1949" s="825">
        <f t="shared" ca="1" si="159"/>
        <v>9379.7999999999993</v>
      </c>
      <c r="R1949" s="825">
        <f t="shared" ca="1" si="161"/>
        <v>9379.7999999999993</v>
      </c>
      <c r="S1949" s="836" t="s">
        <v>6640</v>
      </c>
    </row>
    <row r="1950" spans="2:19" ht="45" customHeight="1" x14ac:dyDescent="0.25">
      <c r="B1950" s="864">
        <v>45667</v>
      </c>
      <c r="C1950" s="828">
        <v>45811</v>
      </c>
      <c r="D1950" s="823"/>
      <c r="E1950" s="848" t="s">
        <v>6988</v>
      </c>
      <c r="F1950" s="734" t="s">
        <v>6765</v>
      </c>
      <c r="G1950" s="761" t="s">
        <v>6633</v>
      </c>
      <c r="H1950" s="824" t="s">
        <v>28</v>
      </c>
      <c r="I1950" s="829" t="s">
        <v>6019</v>
      </c>
      <c r="J1950" s="830" t="s">
        <v>6225</v>
      </c>
      <c r="K1950" s="825">
        <v>10422</v>
      </c>
      <c r="L1950" s="826">
        <v>60.722200000000001</v>
      </c>
      <c r="M1950" s="825">
        <f t="shared" si="157"/>
        <v>171.63409757880973</v>
      </c>
      <c r="N1950" s="833">
        <v>60</v>
      </c>
      <c r="O1950" s="834">
        <f t="shared" si="158"/>
        <v>173.7</v>
      </c>
      <c r="P1950" s="835">
        <f t="shared" ca="1" si="160"/>
        <v>6</v>
      </c>
      <c r="Q1950" s="825">
        <f t="shared" ca="1" si="159"/>
        <v>9379.7999999999993</v>
      </c>
      <c r="R1950" s="825">
        <f t="shared" ca="1" si="161"/>
        <v>9379.7999999999993</v>
      </c>
      <c r="S1950" s="836" t="s">
        <v>6640</v>
      </c>
    </row>
    <row r="1951" spans="2:19" ht="45" customHeight="1" x14ac:dyDescent="0.25">
      <c r="B1951" s="864">
        <v>45667</v>
      </c>
      <c r="C1951" s="828">
        <v>45811</v>
      </c>
      <c r="D1951" s="823"/>
      <c r="E1951" s="848" t="s">
        <v>6988</v>
      </c>
      <c r="F1951" s="734" t="s">
        <v>6766</v>
      </c>
      <c r="G1951" s="761" t="s">
        <v>6633</v>
      </c>
      <c r="H1951" s="824" t="s">
        <v>28</v>
      </c>
      <c r="I1951" s="829" t="s">
        <v>6019</v>
      </c>
      <c r="J1951" s="830" t="s">
        <v>6225</v>
      </c>
      <c r="K1951" s="825">
        <v>10422</v>
      </c>
      <c r="L1951" s="826">
        <v>60.722200000000001</v>
      </c>
      <c r="M1951" s="825">
        <f t="shared" ref="M1951:M2014" si="162">+K1951/L1951</f>
        <v>171.63409757880973</v>
      </c>
      <c r="N1951" s="833">
        <v>60</v>
      </c>
      <c r="O1951" s="834">
        <f t="shared" si="158"/>
        <v>173.7</v>
      </c>
      <c r="P1951" s="835">
        <f t="shared" ca="1" si="160"/>
        <v>6</v>
      </c>
      <c r="Q1951" s="825">
        <f t="shared" ca="1" si="159"/>
        <v>9379.7999999999993</v>
      </c>
      <c r="R1951" s="825">
        <f t="shared" ca="1" si="161"/>
        <v>9379.7999999999993</v>
      </c>
      <c r="S1951" s="836" t="s">
        <v>6640</v>
      </c>
    </row>
    <row r="1952" spans="2:19" ht="45" customHeight="1" x14ac:dyDescent="0.25">
      <c r="B1952" s="864">
        <v>45667</v>
      </c>
      <c r="C1952" s="828">
        <v>45811</v>
      </c>
      <c r="D1952" s="823"/>
      <c r="E1952" s="848" t="s">
        <v>6988</v>
      </c>
      <c r="F1952" s="734" t="s">
        <v>6767</v>
      </c>
      <c r="G1952" s="761" t="s">
        <v>6633</v>
      </c>
      <c r="H1952" s="824" t="s">
        <v>28</v>
      </c>
      <c r="I1952" s="829" t="s">
        <v>6019</v>
      </c>
      <c r="J1952" s="830" t="s">
        <v>6225</v>
      </c>
      <c r="K1952" s="825">
        <v>10422</v>
      </c>
      <c r="L1952" s="826">
        <v>60.722200000000001</v>
      </c>
      <c r="M1952" s="825">
        <f t="shared" si="162"/>
        <v>171.63409757880973</v>
      </c>
      <c r="N1952" s="833">
        <v>60</v>
      </c>
      <c r="O1952" s="834">
        <f t="shared" si="158"/>
        <v>173.7</v>
      </c>
      <c r="P1952" s="835">
        <f t="shared" ca="1" si="160"/>
        <v>6</v>
      </c>
      <c r="Q1952" s="825">
        <f t="shared" ca="1" si="159"/>
        <v>9379.7999999999993</v>
      </c>
      <c r="R1952" s="825">
        <f t="shared" ca="1" si="161"/>
        <v>9379.7999999999993</v>
      </c>
      <c r="S1952" s="836" t="s">
        <v>6640</v>
      </c>
    </row>
    <row r="1953" spans="2:19" ht="45" customHeight="1" x14ac:dyDescent="0.25">
      <c r="B1953" s="864">
        <v>45667</v>
      </c>
      <c r="C1953" s="828">
        <v>45811</v>
      </c>
      <c r="D1953" s="823"/>
      <c r="E1953" s="848" t="s">
        <v>6988</v>
      </c>
      <c r="F1953" s="734" t="s">
        <v>6768</v>
      </c>
      <c r="G1953" s="761" t="s">
        <v>6633</v>
      </c>
      <c r="H1953" s="824" t="s">
        <v>28</v>
      </c>
      <c r="I1953" s="829" t="s">
        <v>6019</v>
      </c>
      <c r="J1953" s="830" t="s">
        <v>6225</v>
      </c>
      <c r="K1953" s="825">
        <v>10422</v>
      </c>
      <c r="L1953" s="826">
        <v>60.722200000000001</v>
      </c>
      <c r="M1953" s="825">
        <f t="shared" si="162"/>
        <v>171.63409757880973</v>
      </c>
      <c r="N1953" s="833">
        <v>60</v>
      </c>
      <c r="O1953" s="834">
        <f t="shared" si="158"/>
        <v>173.7</v>
      </c>
      <c r="P1953" s="835">
        <f t="shared" ca="1" si="160"/>
        <v>6</v>
      </c>
      <c r="Q1953" s="825">
        <f t="shared" ca="1" si="159"/>
        <v>9379.7999999999993</v>
      </c>
      <c r="R1953" s="825">
        <f t="shared" ca="1" si="161"/>
        <v>9379.7999999999993</v>
      </c>
      <c r="S1953" s="836" t="s">
        <v>6640</v>
      </c>
    </row>
    <row r="1954" spans="2:19" ht="45" customHeight="1" x14ac:dyDescent="0.25">
      <c r="B1954" s="864">
        <v>45667</v>
      </c>
      <c r="C1954" s="828">
        <v>45811</v>
      </c>
      <c r="D1954" s="823"/>
      <c r="E1954" s="848" t="s">
        <v>6988</v>
      </c>
      <c r="F1954" s="734" t="s">
        <v>6769</v>
      </c>
      <c r="G1954" s="761" t="s">
        <v>6633</v>
      </c>
      <c r="H1954" s="824" t="s">
        <v>28</v>
      </c>
      <c r="I1954" s="829" t="s">
        <v>6019</v>
      </c>
      <c r="J1954" s="830" t="s">
        <v>6225</v>
      </c>
      <c r="K1954" s="825">
        <v>10422</v>
      </c>
      <c r="L1954" s="826">
        <v>60.722200000000001</v>
      </c>
      <c r="M1954" s="825">
        <f t="shared" si="162"/>
        <v>171.63409757880973</v>
      </c>
      <c r="N1954" s="833">
        <v>60</v>
      </c>
      <c r="O1954" s="834">
        <f t="shared" si="158"/>
        <v>173.7</v>
      </c>
      <c r="P1954" s="835">
        <f t="shared" ca="1" si="160"/>
        <v>6</v>
      </c>
      <c r="Q1954" s="825">
        <f t="shared" ca="1" si="159"/>
        <v>9379.7999999999993</v>
      </c>
      <c r="R1954" s="825">
        <f t="shared" ca="1" si="161"/>
        <v>9379.7999999999993</v>
      </c>
      <c r="S1954" s="836" t="s">
        <v>6640</v>
      </c>
    </row>
    <row r="1955" spans="2:19" ht="45" customHeight="1" x14ac:dyDescent="0.25">
      <c r="B1955" s="864">
        <v>45667</v>
      </c>
      <c r="C1955" s="828">
        <v>45811</v>
      </c>
      <c r="D1955" s="823"/>
      <c r="E1955" s="848" t="s">
        <v>6988</v>
      </c>
      <c r="F1955" s="734" t="s">
        <v>6770</v>
      </c>
      <c r="G1955" s="761" t="s">
        <v>6633</v>
      </c>
      <c r="H1955" s="824" t="s">
        <v>28</v>
      </c>
      <c r="I1955" s="829" t="s">
        <v>6019</v>
      </c>
      <c r="J1955" s="830" t="s">
        <v>6225</v>
      </c>
      <c r="K1955" s="825">
        <v>10422</v>
      </c>
      <c r="L1955" s="826">
        <v>60.722200000000001</v>
      </c>
      <c r="M1955" s="825">
        <f t="shared" si="162"/>
        <v>171.63409757880973</v>
      </c>
      <c r="N1955" s="833">
        <v>60</v>
      </c>
      <c r="O1955" s="834">
        <f t="shared" si="158"/>
        <v>173.7</v>
      </c>
      <c r="P1955" s="835">
        <f t="shared" ca="1" si="160"/>
        <v>6</v>
      </c>
      <c r="Q1955" s="825">
        <f t="shared" ca="1" si="159"/>
        <v>9379.7999999999993</v>
      </c>
      <c r="R1955" s="825">
        <f t="shared" ca="1" si="161"/>
        <v>9379.7999999999993</v>
      </c>
      <c r="S1955" s="836" t="s">
        <v>6640</v>
      </c>
    </row>
    <row r="1956" spans="2:19" ht="45" customHeight="1" x14ac:dyDescent="0.25">
      <c r="B1956" s="864">
        <v>45667</v>
      </c>
      <c r="C1956" s="828">
        <v>45811</v>
      </c>
      <c r="D1956" s="823"/>
      <c r="E1956" s="848" t="s">
        <v>6988</v>
      </c>
      <c r="F1956" s="734" t="s">
        <v>6771</v>
      </c>
      <c r="G1956" s="761" t="s">
        <v>6633</v>
      </c>
      <c r="H1956" s="824" t="s">
        <v>28</v>
      </c>
      <c r="I1956" s="829" t="s">
        <v>6019</v>
      </c>
      <c r="J1956" s="830" t="s">
        <v>6225</v>
      </c>
      <c r="K1956" s="825">
        <v>10422</v>
      </c>
      <c r="L1956" s="826">
        <v>60.722200000000001</v>
      </c>
      <c r="M1956" s="825">
        <f t="shared" si="162"/>
        <v>171.63409757880973</v>
      </c>
      <c r="N1956" s="833">
        <v>60</v>
      </c>
      <c r="O1956" s="834">
        <f t="shared" si="158"/>
        <v>173.7</v>
      </c>
      <c r="P1956" s="835">
        <f t="shared" ca="1" si="160"/>
        <v>6</v>
      </c>
      <c r="Q1956" s="825">
        <f t="shared" ca="1" si="159"/>
        <v>9379.7999999999993</v>
      </c>
      <c r="R1956" s="825">
        <f t="shared" ca="1" si="161"/>
        <v>9379.7999999999993</v>
      </c>
      <c r="S1956" s="836" t="s">
        <v>6640</v>
      </c>
    </row>
    <row r="1957" spans="2:19" ht="45" customHeight="1" x14ac:dyDescent="0.25">
      <c r="B1957" s="864">
        <v>45667</v>
      </c>
      <c r="C1957" s="828">
        <v>45811</v>
      </c>
      <c r="D1957" s="823"/>
      <c r="E1957" s="848" t="s">
        <v>6988</v>
      </c>
      <c r="F1957" s="734" t="s">
        <v>6772</v>
      </c>
      <c r="G1957" s="761" t="s">
        <v>6633</v>
      </c>
      <c r="H1957" s="824" t="s">
        <v>28</v>
      </c>
      <c r="I1957" s="829" t="s">
        <v>6019</v>
      </c>
      <c r="J1957" s="830" t="s">
        <v>6225</v>
      </c>
      <c r="K1957" s="825">
        <v>10422</v>
      </c>
      <c r="L1957" s="826">
        <v>60.722200000000001</v>
      </c>
      <c r="M1957" s="825">
        <f t="shared" si="162"/>
        <v>171.63409757880973</v>
      </c>
      <c r="N1957" s="833">
        <v>60</v>
      </c>
      <c r="O1957" s="834">
        <f t="shared" si="158"/>
        <v>173.7</v>
      </c>
      <c r="P1957" s="835">
        <f t="shared" ca="1" si="160"/>
        <v>6</v>
      </c>
      <c r="Q1957" s="825">
        <f t="shared" ca="1" si="159"/>
        <v>9379.7999999999993</v>
      </c>
      <c r="R1957" s="825">
        <f t="shared" ca="1" si="161"/>
        <v>9379.7999999999993</v>
      </c>
      <c r="S1957" s="836" t="s">
        <v>6640</v>
      </c>
    </row>
    <row r="1958" spans="2:19" ht="45" customHeight="1" x14ac:dyDescent="0.25">
      <c r="B1958" s="864">
        <v>45667</v>
      </c>
      <c r="C1958" s="828">
        <v>45811</v>
      </c>
      <c r="D1958" s="823"/>
      <c r="E1958" s="848" t="s">
        <v>6988</v>
      </c>
      <c r="F1958" s="734" t="s">
        <v>6773</v>
      </c>
      <c r="G1958" s="761" t="s">
        <v>6633</v>
      </c>
      <c r="H1958" s="824" t="s">
        <v>28</v>
      </c>
      <c r="I1958" s="829" t="s">
        <v>6019</v>
      </c>
      <c r="J1958" s="830" t="s">
        <v>6225</v>
      </c>
      <c r="K1958" s="825">
        <v>10422</v>
      </c>
      <c r="L1958" s="826">
        <v>60.722200000000001</v>
      </c>
      <c r="M1958" s="825">
        <f t="shared" si="162"/>
        <v>171.63409757880973</v>
      </c>
      <c r="N1958" s="833">
        <v>60</v>
      </c>
      <c r="O1958" s="834">
        <f t="shared" si="158"/>
        <v>173.7</v>
      </c>
      <c r="P1958" s="835">
        <f t="shared" ca="1" si="160"/>
        <v>6</v>
      </c>
      <c r="Q1958" s="825">
        <f t="shared" ca="1" si="159"/>
        <v>9379.7999999999993</v>
      </c>
      <c r="R1958" s="825">
        <f t="shared" ca="1" si="161"/>
        <v>9379.7999999999993</v>
      </c>
      <c r="S1958" s="836" t="s">
        <v>6640</v>
      </c>
    </row>
    <row r="1959" spans="2:19" ht="45" customHeight="1" x14ac:dyDescent="0.25">
      <c r="B1959" s="864">
        <v>45667</v>
      </c>
      <c r="C1959" s="828">
        <v>45811</v>
      </c>
      <c r="D1959" s="823"/>
      <c r="E1959" s="848" t="s">
        <v>6988</v>
      </c>
      <c r="F1959" s="734" t="s">
        <v>6774</v>
      </c>
      <c r="G1959" s="761" t="s">
        <v>6633</v>
      </c>
      <c r="H1959" s="824" t="s">
        <v>28</v>
      </c>
      <c r="I1959" s="829" t="s">
        <v>6019</v>
      </c>
      <c r="J1959" s="830" t="s">
        <v>6225</v>
      </c>
      <c r="K1959" s="825">
        <v>10422</v>
      </c>
      <c r="L1959" s="826">
        <v>60.722200000000001</v>
      </c>
      <c r="M1959" s="825">
        <f t="shared" si="162"/>
        <v>171.63409757880973</v>
      </c>
      <c r="N1959" s="833">
        <v>60</v>
      </c>
      <c r="O1959" s="834">
        <f t="shared" si="158"/>
        <v>173.7</v>
      </c>
      <c r="P1959" s="835">
        <f t="shared" ca="1" si="160"/>
        <v>6</v>
      </c>
      <c r="Q1959" s="825">
        <f t="shared" ca="1" si="159"/>
        <v>9379.7999999999993</v>
      </c>
      <c r="R1959" s="825">
        <f t="shared" ca="1" si="161"/>
        <v>9379.7999999999993</v>
      </c>
      <c r="S1959" s="836" t="s">
        <v>6640</v>
      </c>
    </row>
    <row r="1960" spans="2:19" ht="45" customHeight="1" x14ac:dyDescent="0.25">
      <c r="B1960" s="864">
        <v>45667</v>
      </c>
      <c r="C1960" s="828">
        <v>45811</v>
      </c>
      <c r="D1960" s="823"/>
      <c r="E1960" s="848" t="s">
        <v>6988</v>
      </c>
      <c r="F1960" s="734" t="s">
        <v>6775</v>
      </c>
      <c r="G1960" s="761" t="s">
        <v>6633</v>
      </c>
      <c r="H1960" s="824" t="s">
        <v>28</v>
      </c>
      <c r="I1960" s="829" t="s">
        <v>6019</v>
      </c>
      <c r="J1960" s="830" t="s">
        <v>6225</v>
      </c>
      <c r="K1960" s="825">
        <v>10422</v>
      </c>
      <c r="L1960" s="826">
        <v>60.722200000000001</v>
      </c>
      <c r="M1960" s="825">
        <f t="shared" si="162"/>
        <v>171.63409757880973</v>
      </c>
      <c r="N1960" s="833">
        <v>60</v>
      </c>
      <c r="O1960" s="834">
        <f t="shared" si="158"/>
        <v>173.7</v>
      </c>
      <c r="P1960" s="835">
        <f t="shared" ca="1" si="160"/>
        <v>6</v>
      </c>
      <c r="Q1960" s="825">
        <f t="shared" ca="1" si="159"/>
        <v>9379.7999999999993</v>
      </c>
      <c r="R1960" s="825">
        <f t="shared" ca="1" si="161"/>
        <v>9379.7999999999993</v>
      </c>
      <c r="S1960" s="836" t="s">
        <v>6640</v>
      </c>
    </row>
    <row r="1961" spans="2:19" ht="45" customHeight="1" x14ac:dyDescent="0.25">
      <c r="B1961" s="864">
        <v>45667</v>
      </c>
      <c r="C1961" s="828">
        <v>45811</v>
      </c>
      <c r="D1961" s="823"/>
      <c r="E1961" s="848" t="s">
        <v>6988</v>
      </c>
      <c r="F1961" s="734" t="s">
        <v>6776</v>
      </c>
      <c r="G1961" s="761" t="s">
        <v>6633</v>
      </c>
      <c r="H1961" s="824" t="s">
        <v>28</v>
      </c>
      <c r="I1961" s="829" t="s">
        <v>6019</v>
      </c>
      <c r="J1961" s="830" t="s">
        <v>6225</v>
      </c>
      <c r="K1961" s="825">
        <v>10422</v>
      </c>
      <c r="L1961" s="826">
        <v>60.722200000000001</v>
      </c>
      <c r="M1961" s="825">
        <f t="shared" si="162"/>
        <v>171.63409757880973</v>
      </c>
      <c r="N1961" s="833">
        <v>60</v>
      </c>
      <c r="O1961" s="834">
        <f t="shared" si="158"/>
        <v>173.7</v>
      </c>
      <c r="P1961" s="835">
        <f t="shared" ca="1" si="160"/>
        <v>6</v>
      </c>
      <c r="Q1961" s="825">
        <f t="shared" ca="1" si="159"/>
        <v>9379.7999999999993</v>
      </c>
      <c r="R1961" s="825">
        <f t="shared" ca="1" si="161"/>
        <v>9379.7999999999993</v>
      </c>
      <c r="S1961" s="836" t="s">
        <v>6640</v>
      </c>
    </row>
    <row r="1962" spans="2:19" ht="45" customHeight="1" x14ac:dyDescent="0.25">
      <c r="B1962" s="864">
        <v>45667</v>
      </c>
      <c r="C1962" s="828">
        <v>45811</v>
      </c>
      <c r="D1962" s="823"/>
      <c r="E1962" s="848" t="s">
        <v>6988</v>
      </c>
      <c r="F1962" s="734" t="s">
        <v>6777</v>
      </c>
      <c r="G1962" s="761" t="s">
        <v>6633</v>
      </c>
      <c r="H1962" s="824" t="s">
        <v>28</v>
      </c>
      <c r="I1962" s="829" t="s">
        <v>6019</v>
      </c>
      <c r="J1962" s="830" t="s">
        <v>6225</v>
      </c>
      <c r="K1962" s="825">
        <v>10422</v>
      </c>
      <c r="L1962" s="826">
        <v>60.722200000000001</v>
      </c>
      <c r="M1962" s="825">
        <f t="shared" si="162"/>
        <v>171.63409757880973</v>
      </c>
      <c r="N1962" s="833">
        <v>60</v>
      </c>
      <c r="O1962" s="834">
        <f t="shared" si="158"/>
        <v>173.7</v>
      </c>
      <c r="P1962" s="835">
        <f t="shared" ca="1" si="160"/>
        <v>6</v>
      </c>
      <c r="Q1962" s="825">
        <f t="shared" ca="1" si="159"/>
        <v>9379.7999999999993</v>
      </c>
      <c r="R1962" s="825">
        <f t="shared" ca="1" si="161"/>
        <v>9379.7999999999993</v>
      </c>
      <c r="S1962" s="836" t="s">
        <v>6640</v>
      </c>
    </row>
    <row r="1963" spans="2:19" ht="45" customHeight="1" x14ac:dyDescent="0.25">
      <c r="B1963" s="864">
        <v>45667</v>
      </c>
      <c r="C1963" s="828">
        <v>45811</v>
      </c>
      <c r="D1963" s="823"/>
      <c r="E1963" s="848" t="s">
        <v>6988</v>
      </c>
      <c r="F1963" s="734" t="s">
        <v>6778</v>
      </c>
      <c r="G1963" s="761" t="s">
        <v>6633</v>
      </c>
      <c r="H1963" s="824" t="s">
        <v>28</v>
      </c>
      <c r="I1963" s="829" t="s">
        <v>6019</v>
      </c>
      <c r="J1963" s="830" t="s">
        <v>6225</v>
      </c>
      <c r="K1963" s="825">
        <v>10422</v>
      </c>
      <c r="L1963" s="826">
        <v>60.722200000000001</v>
      </c>
      <c r="M1963" s="825">
        <f t="shared" si="162"/>
        <v>171.63409757880973</v>
      </c>
      <c r="N1963" s="833">
        <v>60</v>
      </c>
      <c r="O1963" s="834">
        <f t="shared" si="158"/>
        <v>173.7</v>
      </c>
      <c r="P1963" s="835">
        <f t="shared" ca="1" si="160"/>
        <v>6</v>
      </c>
      <c r="Q1963" s="825">
        <f t="shared" ca="1" si="159"/>
        <v>9379.7999999999993</v>
      </c>
      <c r="R1963" s="825">
        <f t="shared" ca="1" si="161"/>
        <v>9379.7999999999993</v>
      </c>
      <c r="S1963" s="836" t="s">
        <v>6640</v>
      </c>
    </row>
    <row r="1964" spans="2:19" ht="45" customHeight="1" x14ac:dyDescent="0.25">
      <c r="B1964" s="864">
        <v>45667</v>
      </c>
      <c r="C1964" s="828">
        <v>45811</v>
      </c>
      <c r="D1964" s="823"/>
      <c r="E1964" s="848" t="s">
        <v>6988</v>
      </c>
      <c r="F1964" s="734" t="s">
        <v>6779</v>
      </c>
      <c r="G1964" s="761" t="s">
        <v>6633</v>
      </c>
      <c r="H1964" s="824" t="s">
        <v>28</v>
      </c>
      <c r="I1964" s="829" t="s">
        <v>6019</v>
      </c>
      <c r="J1964" s="830" t="s">
        <v>6225</v>
      </c>
      <c r="K1964" s="825">
        <v>10422</v>
      </c>
      <c r="L1964" s="826">
        <v>60.722200000000001</v>
      </c>
      <c r="M1964" s="825">
        <f t="shared" si="162"/>
        <v>171.63409757880973</v>
      </c>
      <c r="N1964" s="833">
        <v>60</v>
      </c>
      <c r="O1964" s="834">
        <f t="shared" si="158"/>
        <v>173.7</v>
      </c>
      <c r="P1964" s="835">
        <f t="shared" ca="1" si="160"/>
        <v>6</v>
      </c>
      <c r="Q1964" s="825">
        <f t="shared" ca="1" si="159"/>
        <v>9379.7999999999993</v>
      </c>
      <c r="R1964" s="825">
        <f t="shared" ca="1" si="161"/>
        <v>9379.7999999999993</v>
      </c>
      <c r="S1964" s="836" t="s">
        <v>6640</v>
      </c>
    </row>
    <row r="1965" spans="2:19" ht="45" customHeight="1" x14ac:dyDescent="0.25">
      <c r="B1965" s="864">
        <v>45667</v>
      </c>
      <c r="C1965" s="828">
        <v>45811</v>
      </c>
      <c r="D1965" s="823"/>
      <c r="E1965" s="848" t="s">
        <v>6988</v>
      </c>
      <c r="F1965" s="734" t="s">
        <v>6780</v>
      </c>
      <c r="G1965" s="761" t="s">
        <v>6633</v>
      </c>
      <c r="H1965" s="824" t="s">
        <v>28</v>
      </c>
      <c r="I1965" s="829" t="s">
        <v>6019</v>
      </c>
      <c r="J1965" s="830" t="s">
        <v>6225</v>
      </c>
      <c r="K1965" s="825">
        <v>10422</v>
      </c>
      <c r="L1965" s="826">
        <v>60.722200000000001</v>
      </c>
      <c r="M1965" s="825">
        <f t="shared" si="162"/>
        <v>171.63409757880973</v>
      </c>
      <c r="N1965" s="833">
        <v>60</v>
      </c>
      <c r="O1965" s="834">
        <f t="shared" si="158"/>
        <v>173.7</v>
      </c>
      <c r="P1965" s="835">
        <f t="shared" ca="1" si="160"/>
        <v>6</v>
      </c>
      <c r="Q1965" s="825">
        <f t="shared" ca="1" si="159"/>
        <v>9379.7999999999993</v>
      </c>
      <c r="R1965" s="825">
        <f t="shared" ca="1" si="161"/>
        <v>9379.7999999999993</v>
      </c>
      <c r="S1965" s="836" t="s">
        <v>6640</v>
      </c>
    </row>
    <row r="1966" spans="2:19" ht="45" customHeight="1" x14ac:dyDescent="0.25">
      <c r="B1966" s="864">
        <v>45667</v>
      </c>
      <c r="C1966" s="828">
        <v>45811</v>
      </c>
      <c r="D1966" s="823"/>
      <c r="E1966" s="848" t="s">
        <v>6988</v>
      </c>
      <c r="F1966" s="734" t="s">
        <v>6781</v>
      </c>
      <c r="G1966" s="761" t="s">
        <v>6633</v>
      </c>
      <c r="H1966" s="824" t="s">
        <v>28</v>
      </c>
      <c r="I1966" s="829" t="s">
        <v>6019</v>
      </c>
      <c r="J1966" s="830" t="s">
        <v>6225</v>
      </c>
      <c r="K1966" s="825">
        <v>10422</v>
      </c>
      <c r="L1966" s="826">
        <v>60.722200000000001</v>
      </c>
      <c r="M1966" s="825">
        <f t="shared" si="162"/>
        <v>171.63409757880973</v>
      </c>
      <c r="N1966" s="833">
        <v>60</v>
      </c>
      <c r="O1966" s="834">
        <f t="shared" si="158"/>
        <v>173.7</v>
      </c>
      <c r="P1966" s="835">
        <f t="shared" ca="1" si="160"/>
        <v>6</v>
      </c>
      <c r="Q1966" s="825">
        <f t="shared" ca="1" si="159"/>
        <v>9379.7999999999993</v>
      </c>
      <c r="R1966" s="825">
        <f t="shared" ca="1" si="161"/>
        <v>9379.7999999999993</v>
      </c>
      <c r="S1966" s="836" t="s">
        <v>6640</v>
      </c>
    </row>
    <row r="1967" spans="2:19" ht="45" customHeight="1" x14ac:dyDescent="0.25">
      <c r="B1967" s="864">
        <v>45667</v>
      </c>
      <c r="C1967" s="828">
        <v>45811</v>
      </c>
      <c r="D1967" s="823"/>
      <c r="E1967" s="848" t="s">
        <v>6988</v>
      </c>
      <c r="F1967" s="734" t="s">
        <v>6782</v>
      </c>
      <c r="G1967" s="761" t="s">
        <v>6633</v>
      </c>
      <c r="H1967" s="824" t="s">
        <v>28</v>
      </c>
      <c r="I1967" s="829" t="s">
        <v>6019</v>
      </c>
      <c r="J1967" s="830" t="s">
        <v>6225</v>
      </c>
      <c r="K1967" s="825">
        <v>10422</v>
      </c>
      <c r="L1967" s="826">
        <v>60.722200000000001</v>
      </c>
      <c r="M1967" s="825">
        <f t="shared" si="162"/>
        <v>171.63409757880973</v>
      </c>
      <c r="N1967" s="833">
        <v>60</v>
      </c>
      <c r="O1967" s="834">
        <f t="shared" si="158"/>
        <v>173.7</v>
      </c>
      <c r="P1967" s="835">
        <f t="shared" ca="1" si="160"/>
        <v>6</v>
      </c>
      <c r="Q1967" s="825">
        <f t="shared" ca="1" si="159"/>
        <v>9379.7999999999993</v>
      </c>
      <c r="R1967" s="825">
        <f t="shared" ca="1" si="161"/>
        <v>9379.7999999999993</v>
      </c>
      <c r="S1967" s="836" t="s">
        <v>6640</v>
      </c>
    </row>
    <row r="1968" spans="2:19" ht="45" customHeight="1" x14ac:dyDescent="0.25">
      <c r="B1968" s="864">
        <v>45667</v>
      </c>
      <c r="C1968" s="828">
        <v>45811</v>
      </c>
      <c r="D1968" s="823"/>
      <c r="E1968" s="848" t="s">
        <v>6988</v>
      </c>
      <c r="F1968" s="734" t="s">
        <v>6783</v>
      </c>
      <c r="G1968" s="761" t="s">
        <v>6633</v>
      </c>
      <c r="H1968" s="824" t="s">
        <v>28</v>
      </c>
      <c r="I1968" s="829" t="s">
        <v>6019</v>
      </c>
      <c r="J1968" s="830" t="s">
        <v>6225</v>
      </c>
      <c r="K1968" s="825">
        <v>10422</v>
      </c>
      <c r="L1968" s="826">
        <v>60.722200000000001</v>
      </c>
      <c r="M1968" s="825">
        <f t="shared" si="162"/>
        <v>171.63409757880973</v>
      </c>
      <c r="N1968" s="833">
        <v>60</v>
      </c>
      <c r="O1968" s="834">
        <f t="shared" si="158"/>
        <v>173.7</v>
      </c>
      <c r="P1968" s="835">
        <f t="shared" ca="1" si="160"/>
        <v>6</v>
      </c>
      <c r="Q1968" s="825">
        <f t="shared" ca="1" si="159"/>
        <v>9379.7999999999993</v>
      </c>
      <c r="R1968" s="825">
        <f t="shared" ca="1" si="161"/>
        <v>9379.7999999999993</v>
      </c>
      <c r="S1968" s="836" t="s">
        <v>6640</v>
      </c>
    </row>
    <row r="1969" spans="2:19" ht="45" customHeight="1" x14ac:dyDescent="0.25">
      <c r="B1969" s="864">
        <v>45667</v>
      </c>
      <c r="C1969" s="828">
        <v>45812</v>
      </c>
      <c r="D1969" s="823"/>
      <c r="E1969" s="848" t="s">
        <v>6988</v>
      </c>
      <c r="F1969" s="734" t="s">
        <v>6671</v>
      </c>
      <c r="G1969" s="761" t="s">
        <v>6624</v>
      </c>
      <c r="H1969" s="824" t="s">
        <v>28</v>
      </c>
      <c r="I1969" s="829" t="s">
        <v>6019</v>
      </c>
      <c r="J1969" s="830" t="s">
        <v>6225</v>
      </c>
      <c r="K1969" s="825">
        <v>20167.28</v>
      </c>
      <c r="L1969" s="826">
        <v>60.722200000000001</v>
      </c>
      <c r="M1969" s="825">
        <f t="shared" si="162"/>
        <v>332.12367140847988</v>
      </c>
      <c r="N1969" s="833">
        <v>60</v>
      </c>
      <c r="O1969" s="834">
        <f t="shared" si="158"/>
        <v>336.12133333333333</v>
      </c>
      <c r="P1969" s="835">
        <f t="shared" ca="1" si="160"/>
        <v>6</v>
      </c>
      <c r="Q1969" s="825">
        <f t="shared" ca="1" si="159"/>
        <v>18150.552</v>
      </c>
      <c r="R1969" s="825">
        <f t="shared" ca="1" si="161"/>
        <v>18150.552</v>
      </c>
      <c r="S1969" s="836" t="s">
        <v>6640</v>
      </c>
    </row>
    <row r="1970" spans="2:19" ht="45" customHeight="1" x14ac:dyDescent="0.25">
      <c r="B1970" s="864">
        <v>45667</v>
      </c>
      <c r="C1970" s="828">
        <v>45812</v>
      </c>
      <c r="D1970" s="823"/>
      <c r="E1970" s="848" t="s">
        <v>6988</v>
      </c>
      <c r="F1970" s="734" t="s">
        <v>6672</v>
      </c>
      <c r="G1970" s="761" t="s">
        <v>6624</v>
      </c>
      <c r="H1970" s="824" t="s">
        <v>28</v>
      </c>
      <c r="I1970" s="829" t="s">
        <v>6019</v>
      </c>
      <c r="J1970" s="830" t="s">
        <v>6225</v>
      </c>
      <c r="K1970" s="825">
        <v>20167.28</v>
      </c>
      <c r="L1970" s="826">
        <v>60.722200000000001</v>
      </c>
      <c r="M1970" s="825">
        <f t="shared" si="162"/>
        <v>332.12367140847988</v>
      </c>
      <c r="N1970" s="833">
        <v>60</v>
      </c>
      <c r="O1970" s="834">
        <f t="shared" si="158"/>
        <v>336.12133333333333</v>
      </c>
      <c r="P1970" s="835">
        <f t="shared" ca="1" si="160"/>
        <v>6</v>
      </c>
      <c r="Q1970" s="825">
        <f t="shared" ca="1" si="159"/>
        <v>18150.552</v>
      </c>
      <c r="R1970" s="825">
        <f t="shared" ca="1" si="161"/>
        <v>18150.552</v>
      </c>
      <c r="S1970" s="836" t="s">
        <v>6640</v>
      </c>
    </row>
    <row r="1971" spans="2:19" ht="45" customHeight="1" x14ac:dyDescent="0.25">
      <c r="B1971" s="864">
        <v>45667</v>
      </c>
      <c r="C1971" s="828">
        <v>45812</v>
      </c>
      <c r="D1971" s="823"/>
      <c r="E1971" s="848" t="s">
        <v>6988</v>
      </c>
      <c r="F1971" s="734" t="s">
        <v>6642</v>
      </c>
      <c r="G1971" s="761" t="s">
        <v>6620</v>
      </c>
      <c r="H1971" s="824" t="s">
        <v>28</v>
      </c>
      <c r="I1971" s="829" t="s">
        <v>6019</v>
      </c>
      <c r="J1971" s="830" t="s">
        <v>6225</v>
      </c>
      <c r="K1971" s="825">
        <v>16000.8</v>
      </c>
      <c r="L1971" s="826">
        <v>60.722200000000001</v>
      </c>
      <c r="M1971" s="825">
        <f t="shared" si="162"/>
        <v>263.50823916129519</v>
      </c>
      <c r="N1971" s="833">
        <v>60</v>
      </c>
      <c r="O1971" s="834">
        <f t="shared" si="158"/>
        <v>266.68</v>
      </c>
      <c r="P1971" s="835">
        <f t="shared" ca="1" si="160"/>
        <v>6</v>
      </c>
      <c r="Q1971" s="825">
        <f t="shared" ca="1" si="159"/>
        <v>14400.72</v>
      </c>
      <c r="R1971" s="825">
        <f t="shared" ca="1" si="161"/>
        <v>14400.72</v>
      </c>
      <c r="S1971" s="836" t="s">
        <v>6640</v>
      </c>
    </row>
    <row r="1972" spans="2:19" ht="45" customHeight="1" x14ac:dyDescent="0.25">
      <c r="B1972" s="864">
        <v>45667</v>
      </c>
      <c r="C1972" s="828">
        <v>45812</v>
      </c>
      <c r="D1972" s="823"/>
      <c r="E1972" s="848" t="s">
        <v>6988</v>
      </c>
      <c r="F1972" s="734" t="s">
        <v>6643</v>
      </c>
      <c r="G1972" s="761" t="s">
        <v>6620</v>
      </c>
      <c r="H1972" s="824" t="s">
        <v>28</v>
      </c>
      <c r="I1972" s="829" t="s">
        <v>6019</v>
      </c>
      <c r="J1972" s="830" t="s">
        <v>6225</v>
      </c>
      <c r="K1972" s="825">
        <v>16000.8</v>
      </c>
      <c r="L1972" s="826">
        <v>60.722200000000001</v>
      </c>
      <c r="M1972" s="825">
        <f t="shared" si="162"/>
        <v>263.50823916129519</v>
      </c>
      <c r="N1972" s="833">
        <v>60</v>
      </c>
      <c r="O1972" s="834">
        <f t="shared" si="158"/>
        <v>266.68</v>
      </c>
      <c r="P1972" s="835">
        <f t="shared" ca="1" si="160"/>
        <v>6</v>
      </c>
      <c r="Q1972" s="825">
        <f t="shared" ca="1" si="159"/>
        <v>14400.72</v>
      </c>
      <c r="R1972" s="825">
        <f t="shared" ca="1" si="161"/>
        <v>14400.72</v>
      </c>
      <c r="S1972" s="836" t="s">
        <v>6640</v>
      </c>
    </row>
    <row r="1973" spans="2:19" ht="45" customHeight="1" x14ac:dyDescent="0.25">
      <c r="B1973" s="864">
        <v>45667</v>
      </c>
      <c r="C1973" s="828">
        <v>45812</v>
      </c>
      <c r="D1973" s="823"/>
      <c r="E1973" s="848" t="s">
        <v>6988</v>
      </c>
      <c r="F1973" s="734" t="s">
        <v>6644</v>
      </c>
      <c r="G1973" s="761" t="s">
        <v>6620</v>
      </c>
      <c r="H1973" s="824" t="s">
        <v>28</v>
      </c>
      <c r="I1973" s="829" t="s">
        <v>6019</v>
      </c>
      <c r="J1973" s="830" t="s">
        <v>6225</v>
      </c>
      <c r="K1973" s="825">
        <v>16000.8</v>
      </c>
      <c r="L1973" s="826">
        <v>60.722200000000001</v>
      </c>
      <c r="M1973" s="825">
        <f t="shared" si="162"/>
        <v>263.50823916129519</v>
      </c>
      <c r="N1973" s="833">
        <v>60</v>
      </c>
      <c r="O1973" s="834">
        <f t="shared" si="158"/>
        <v>266.68</v>
      </c>
      <c r="P1973" s="835">
        <f t="shared" ca="1" si="160"/>
        <v>6</v>
      </c>
      <c r="Q1973" s="825">
        <f t="shared" ca="1" si="159"/>
        <v>14400.72</v>
      </c>
      <c r="R1973" s="825">
        <f t="shared" ca="1" si="161"/>
        <v>14400.72</v>
      </c>
      <c r="S1973" s="836" t="s">
        <v>6640</v>
      </c>
    </row>
    <row r="1974" spans="2:19" ht="45" customHeight="1" x14ac:dyDescent="0.25">
      <c r="B1974" s="864">
        <v>45667</v>
      </c>
      <c r="C1974" s="828">
        <v>45812</v>
      </c>
      <c r="D1974" s="823"/>
      <c r="E1974" s="848" t="s">
        <v>6988</v>
      </c>
      <c r="F1974" s="734" t="s">
        <v>6645</v>
      </c>
      <c r="G1974" s="761" t="s">
        <v>6620</v>
      </c>
      <c r="H1974" s="824" t="s">
        <v>28</v>
      </c>
      <c r="I1974" s="829" t="s">
        <v>6019</v>
      </c>
      <c r="J1974" s="830" t="s">
        <v>6225</v>
      </c>
      <c r="K1974" s="825">
        <v>16000.8</v>
      </c>
      <c r="L1974" s="826">
        <v>60.722200000000001</v>
      </c>
      <c r="M1974" s="825">
        <f t="shared" si="162"/>
        <v>263.50823916129519</v>
      </c>
      <c r="N1974" s="833">
        <v>60</v>
      </c>
      <c r="O1974" s="834">
        <f t="shared" si="158"/>
        <v>266.68</v>
      </c>
      <c r="P1974" s="835">
        <f t="shared" ca="1" si="160"/>
        <v>6</v>
      </c>
      <c r="Q1974" s="825">
        <f t="shared" ca="1" si="159"/>
        <v>14400.72</v>
      </c>
      <c r="R1974" s="825">
        <f t="shared" ca="1" si="161"/>
        <v>14400.72</v>
      </c>
      <c r="S1974" s="836" t="s">
        <v>6640</v>
      </c>
    </row>
    <row r="1975" spans="2:19" ht="45" customHeight="1" x14ac:dyDescent="0.25">
      <c r="B1975" s="864">
        <v>45667</v>
      </c>
      <c r="C1975" s="828">
        <v>45812</v>
      </c>
      <c r="D1975" s="823"/>
      <c r="E1975" s="848" t="s">
        <v>6988</v>
      </c>
      <c r="F1975" s="734" t="s">
        <v>6646</v>
      </c>
      <c r="G1975" s="761" t="s">
        <v>6620</v>
      </c>
      <c r="H1975" s="824" t="s">
        <v>28</v>
      </c>
      <c r="I1975" s="829" t="s">
        <v>6019</v>
      </c>
      <c r="J1975" s="830" t="s">
        <v>6225</v>
      </c>
      <c r="K1975" s="825">
        <v>16000.8</v>
      </c>
      <c r="L1975" s="826">
        <v>60.722200000000001</v>
      </c>
      <c r="M1975" s="825">
        <f t="shared" si="162"/>
        <v>263.50823916129519</v>
      </c>
      <c r="N1975" s="833">
        <v>60</v>
      </c>
      <c r="O1975" s="834">
        <f t="shared" si="158"/>
        <v>266.68</v>
      </c>
      <c r="P1975" s="835">
        <f t="shared" ca="1" si="160"/>
        <v>6</v>
      </c>
      <c r="Q1975" s="825">
        <f t="shared" ca="1" si="159"/>
        <v>14400.72</v>
      </c>
      <c r="R1975" s="825">
        <f t="shared" ca="1" si="161"/>
        <v>14400.72</v>
      </c>
      <c r="S1975" s="836" t="s">
        <v>6640</v>
      </c>
    </row>
    <row r="1976" spans="2:19" ht="45" customHeight="1" x14ac:dyDescent="0.25">
      <c r="B1976" s="864">
        <v>45667</v>
      </c>
      <c r="C1976" s="828">
        <v>45812</v>
      </c>
      <c r="D1976" s="823"/>
      <c r="E1976" s="848" t="s">
        <v>6988</v>
      </c>
      <c r="F1976" s="734" t="s">
        <v>6647</v>
      </c>
      <c r="G1976" s="761" t="s">
        <v>6620</v>
      </c>
      <c r="H1976" s="824" t="s">
        <v>28</v>
      </c>
      <c r="I1976" s="829" t="s">
        <v>6019</v>
      </c>
      <c r="J1976" s="830" t="s">
        <v>6225</v>
      </c>
      <c r="K1976" s="825">
        <v>16000.8</v>
      </c>
      <c r="L1976" s="826">
        <v>60.722200000000001</v>
      </c>
      <c r="M1976" s="825">
        <f t="shared" si="162"/>
        <v>263.50823916129519</v>
      </c>
      <c r="N1976" s="833">
        <v>60</v>
      </c>
      <c r="O1976" s="834">
        <f t="shared" si="158"/>
        <v>266.68</v>
      </c>
      <c r="P1976" s="835">
        <f t="shared" ca="1" si="160"/>
        <v>6</v>
      </c>
      <c r="Q1976" s="825">
        <f t="shared" ca="1" si="159"/>
        <v>14400.72</v>
      </c>
      <c r="R1976" s="825">
        <f t="shared" ca="1" si="161"/>
        <v>14400.72</v>
      </c>
      <c r="S1976" s="836" t="s">
        <v>6640</v>
      </c>
    </row>
    <row r="1977" spans="2:19" ht="45" customHeight="1" x14ac:dyDescent="0.25">
      <c r="B1977" s="864">
        <v>45667</v>
      </c>
      <c r="C1977" s="828">
        <v>45812</v>
      </c>
      <c r="D1977" s="823"/>
      <c r="E1977" s="848" t="s">
        <v>6988</v>
      </c>
      <c r="F1977" s="734" t="s">
        <v>6648</v>
      </c>
      <c r="G1977" s="761" t="s">
        <v>6620</v>
      </c>
      <c r="H1977" s="824" t="s">
        <v>28</v>
      </c>
      <c r="I1977" s="829" t="s">
        <v>6019</v>
      </c>
      <c r="J1977" s="830" t="s">
        <v>6225</v>
      </c>
      <c r="K1977" s="825">
        <v>16000.8</v>
      </c>
      <c r="L1977" s="826">
        <v>60.722200000000001</v>
      </c>
      <c r="M1977" s="825">
        <f t="shared" si="162"/>
        <v>263.50823916129519</v>
      </c>
      <c r="N1977" s="833">
        <v>60</v>
      </c>
      <c r="O1977" s="834">
        <f t="shared" si="158"/>
        <v>266.68</v>
      </c>
      <c r="P1977" s="835">
        <f t="shared" ca="1" si="160"/>
        <v>6</v>
      </c>
      <c r="Q1977" s="825">
        <f t="shared" ca="1" si="159"/>
        <v>14400.72</v>
      </c>
      <c r="R1977" s="825">
        <f t="shared" ca="1" si="161"/>
        <v>14400.72</v>
      </c>
      <c r="S1977" s="836" t="s">
        <v>6640</v>
      </c>
    </row>
    <row r="1978" spans="2:19" ht="45" customHeight="1" x14ac:dyDescent="0.25">
      <c r="B1978" s="864">
        <v>45667</v>
      </c>
      <c r="C1978" s="828">
        <v>45812</v>
      </c>
      <c r="D1978" s="823"/>
      <c r="E1978" s="848" t="s">
        <v>6988</v>
      </c>
      <c r="F1978" s="734" t="s">
        <v>6649</v>
      </c>
      <c r="G1978" s="761" t="s">
        <v>6620</v>
      </c>
      <c r="H1978" s="824" t="s">
        <v>28</v>
      </c>
      <c r="I1978" s="829" t="s">
        <v>6019</v>
      </c>
      <c r="J1978" s="830" t="s">
        <v>6225</v>
      </c>
      <c r="K1978" s="825">
        <v>16000.8</v>
      </c>
      <c r="L1978" s="826">
        <v>60.722200000000001</v>
      </c>
      <c r="M1978" s="825">
        <f t="shared" si="162"/>
        <v>263.50823916129519</v>
      </c>
      <c r="N1978" s="833">
        <v>60</v>
      </c>
      <c r="O1978" s="834">
        <f t="shared" si="158"/>
        <v>266.68</v>
      </c>
      <c r="P1978" s="835">
        <f t="shared" ca="1" si="160"/>
        <v>6</v>
      </c>
      <c r="Q1978" s="825">
        <f t="shared" ca="1" si="159"/>
        <v>14400.72</v>
      </c>
      <c r="R1978" s="825">
        <f t="shared" ca="1" si="161"/>
        <v>14400.72</v>
      </c>
      <c r="S1978" s="836" t="s">
        <v>6640</v>
      </c>
    </row>
    <row r="1979" spans="2:19" ht="45" customHeight="1" x14ac:dyDescent="0.25">
      <c r="B1979" s="864">
        <v>45667</v>
      </c>
      <c r="C1979" s="828">
        <v>45812</v>
      </c>
      <c r="D1979" s="823"/>
      <c r="E1979" s="848" t="s">
        <v>6988</v>
      </c>
      <c r="F1979" s="734" t="s">
        <v>6650</v>
      </c>
      <c r="G1979" s="761" t="s">
        <v>6620</v>
      </c>
      <c r="H1979" s="824" t="s">
        <v>28</v>
      </c>
      <c r="I1979" s="829" t="s">
        <v>6019</v>
      </c>
      <c r="J1979" s="830" t="s">
        <v>6225</v>
      </c>
      <c r="K1979" s="825">
        <v>16000.8</v>
      </c>
      <c r="L1979" s="826">
        <v>60.722200000000001</v>
      </c>
      <c r="M1979" s="825">
        <f t="shared" si="162"/>
        <v>263.50823916129519</v>
      </c>
      <c r="N1979" s="833">
        <v>60</v>
      </c>
      <c r="O1979" s="834">
        <f t="shared" si="158"/>
        <v>266.68</v>
      </c>
      <c r="P1979" s="835">
        <f t="shared" ca="1" si="160"/>
        <v>6</v>
      </c>
      <c r="Q1979" s="825">
        <f t="shared" ca="1" si="159"/>
        <v>14400.72</v>
      </c>
      <c r="R1979" s="825">
        <f t="shared" ca="1" si="161"/>
        <v>14400.72</v>
      </c>
      <c r="S1979" s="836" t="s">
        <v>6640</v>
      </c>
    </row>
    <row r="1980" spans="2:19" ht="45" customHeight="1" x14ac:dyDescent="0.25">
      <c r="B1980" s="864">
        <v>45667</v>
      </c>
      <c r="C1980" s="828">
        <v>45812</v>
      </c>
      <c r="D1980" s="823"/>
      <c r="E1980" s="848" t="s">
        <v>6988</v>
      </c>
      <c r="F1980" s="734" t="s">
        <v>6651</v>
      </c>
      <c r="G1980" s="761" t="s">
        <v>6620</v>
      </c>
      <c r="H1980" s="824" t="s">
        <v>28</v>
      </c>
      <c r="I1980" s="829" t="s">
        <v>6019</v>
      </c>
      <c r="J1980" s="830" t="s">
        <v>6225</v>
      </c>
      <c r="K1980" s="825">
        <v>16000.8</v>
      </c>
      <c r="L1980" s="826">
        <v>60.722200000000001</v>
      </c>
      <c r="M1980" s="825">
        <f t="shared" si="162"/>
        <v>263.50823916129519</v>
      </c>
      <c r="N1980" s="833">
        <v>60</v>
      </c>
      <c r="O1980" s="834">
        <f t="shared" si="158"/>
        <v>266.68</v>
      </c>
      <c r="P1980" s="835">
        <f t="shared" ca="1" si="160"/>
        <v>6</v>
      </c>
      <c r="Q1980" s="825">
        <f t="shared" ca="1" si="159"/>
        <v>14400.72</v>
      </c>
      <c r="R1980" s="825">
        <f t="shared" ca="1" si="161"/>
        <v>14400.72</v>
      </c>
      <c r="S1980" s="836" t="s">
        <v>6640</v>
      </c>
    </row>
    <row r="1981" spans="2:19" ht="45" customHeight="1" x14ac:dyDescent="0.25">
      <c r="B1981" s="864">
        <v>45667</v>
      </c>
      <c r="C1981" s="828">
        <v>45812</v>
      </c>
      <c r="D1981" s="823"/>
      <c r="E1981" s="848" t="s">
        <v>6988</v>
      </c>
      <c r="F1981" s="734" t="s">
        <v>6652</v>
      </c>
      <c r="G1981" s="761" t="s">
        <v>6620</v>
      </c>
      <c r="H1981" s="824" t="s">
        <v>28</v>
      </c>
      <c r="I1981" s="829" t="s">
        <v>6019</v>
      </c>
      <c r="J1981" s="830" t="s">
        <v>6225</v>
      </c>
      <c r="K1981" s="825">
        <v>16000.8</v>
      </c>
      <c r="L1981" s="826">
        <v>60.722200000000001</v>
      </c>
      <c r="M1981" s="825">
        <f t="shared" si="162"/>
        <v>263.50823916129519</v>
      </c>
      <c r="N1981" s="833">
        <v>60</v>
      </c>
      <c r="O1981" s="834">
        <f t="shared" si="158"/>
        <v>266.68</v>
      </c>
      <c r="P1981" s="835">
        <f t="shared" ca="1" si="160"/>
        <v>6</v>
      </c>
      <c r="Q1981" s="825">
        <f t="shared" ca="1" si="159"/>
        <v>14400.72</v>
      </c>
      <c r="R1981" s="825">
        <f t="shared" ca="1" si="161"/>
        <v>14400.72</v>
      </c>
      <c r="S1981" s="836" t="s">
        <v>6640</v>
      </c>
    </row>
    <row r="1982" spans="2:19" ht="45" customHeight="1" x14ac:dyDescent="0.25">
      <c r="B1982" s="864">
        <v>45667</v>
      </c>
      <c r="C1982" s="828">
        <v>45812</v>
      </c>
      <c r="D1982" s="823"/>
      <c r="E1982" s="848" t="s">
        <v>6988</v>
      </c>
      <c r="F1982" s="734" t="s">
        <v>6653</v>
      </c>
      <c r="G1982" s="761" t="s">
        <v>6620</v>
      </c>
      <c r="H1982" s="824" t="s">
        <v>28</v>
      </c>
      <c r="I1982" s="829" t="s">
        <v>6019</v>
      </c>
      <c r="J1982" s="830" t="s">
        <v>6225</v>
      </c>
      <c r="K1982" s="825">
        <v>16000.8</v>
      </c>
      <c r="L1982" s="826">
        <v>60.722200000000001</v>
      </c>
      <c r="M1982" s="825">
        <f t="shared" si="162"/>
        <v>263.50823916129519</v>
      </c>
      <c r="N1982" s="833">
        <v>60</v>
      </c>
      <c r="O1982" s="834">
        <f t="shared" si="158"/>
        <v>266.68</v>
      </c>
      <c r="P1982" s="835">
        <f t="shared" ca="1" si="160"/>
        <v>6</v>
      </c>
      <c r="Q1982" s="825">
        <f t="shared" ca="1" si="159"/>
        <v>14400.72</v>
      </c>
      <c r="R1982" s="825">
        <f t="shared" ca="1" si="161"/>
        <v>14400.72</v>
      </c>
      <c r="S1982" s="836" t="s">
        <v>6640</v>
      </c>
    </row>
    <row r="1983" spans="2:19" ht="45" customHeight="1" x14ac:dyDescent="0.25">
      <c r="B1983" s="864">
        <v>45667</v>
      </c>
      <c r="C1983" s="828">
        <v>45812</v>
      </c>
      <c r="D1983" s="823"/>
      <c r="E1983" s="848" t="s">
        <v>6988</v>
      </c>
      <c r="F1983" s="734" t="s">
        <v>6654</v>
      </c>
      <c r="G1983" s="761" t="s">
        <v>6620</v>
      </c>
      <c r="H1983" s="824" t="s">
        <v>28</v>
      </c>
      <c r="I1983" s="829" t="s">
        <v>6019</v>
      </c>
      <c r="J1983" s="830" t="s">
        <v>6225</v>
      </c>
      <c r="K1983" s="825">
        <v>16000.8</v>
      </c>
      <c r="L1983" s="826">
        <v>60.722200000000001</v>
      </c>
      <c r="M1983" s="825">
        <f t="shared" si="162"/>
        <v>263.50823916129519</v>
      </c>
      <c r="N1983" s="833">
        <v>60</v>
      </c>
      <c r="O1983" s="834">
        <f t="shared" si="158"/>
        <v>266.68</v>
      </c>
      <c r="P1983" s="835">
        <f t="shared" ca="1" si="160"/>
        <v>6</v>
      </c>
      <c r="Q1983" s="825">
        <f t="shared" ca="1" si="159"/>
        <v>14400.72</v>
      </c>
      <c r="R1983" s="825">
        <f t="shared" ca="1" si="161"/>
        <v>14400.72</v>
      </c>
      <c r="S1983" s="836" t="s">
        <v>6640</v>
      </c>
    </row>
    <row r="1984" spans="2:19" ht="45" customHeight="1" x14ac:dyDescent="0.25">
      <c r="B1984" s="864">
        <v>45667</v>
      </c>
      <c r="C1984" s="828">
        <v>45812</v>
      </c>
      <c r="D1984" s="823"/>
      <c r="E1984" s="848" t="s">
        <v>6988</v>
      </c>
      <c r="F1984" s="734" t="s">
        <v>6655</v>
      </c>
      <c r="G1984" s="761" t="s">
        <v>6621</v>
      </c>
      <c r="H1984" s="824" t="s">
        <v>28</v>
      </c>
      <c r="I1984" s="829" t="s">
        <v>6019</v>
      </c>
      <c r="J1984" s="830" t="s">
        <v>6225</v>
      </c>
      <c r="K1984" s="825">
        <v>210866</v>
      </c>
      <c r="L1984" s="826">
        <v>60.722200000000001</v>
      </c>
      <c r="M1984" s="825">
        <f t="shared" si="162"/>
        <v>3472.634390717069</v>
      </c>
      <c r="N1984" s="833">
        <v>60</v>
      </c>
      <c r="O1984" s="834">
        <f t="shared" si="158"/>
        <v>3514.4333333333334</v>
      </c>
      <c r="P1984" s="835">
        <f t="shared" ca="1" si="160"/>
        <v>6</v>
      </c>
      <c r="Q1984" s="825">
        <f t="shared" ca="1" si="159"/>
        <v>189779.4</v>
      </c>
      <c r="R1984" s="825">
        <f t="shared" ca="1" si="161"/>
        <v>189779.4</v>
      </c>
      <c r="S1984" s="836" t="s">
        <v>6640</v>
      </c>
    </row>
    <row r="1985" spans="2:19" ht="45" customHeight="1" x14ac:dyDescent="0.25">
      <c r="B1985" s="864">
        <v>45667</v>
      </c>
      <c r="C1985" s="828">
        <v>45812</v>
      </c>
      <c r="D1985" s="823"/>
      <c r="E1985" s="848" t="s">
        <v>6988</v>
      </c>
      <c r="F1985" s="734" t="s">
        <v>6656</v>
      </c>
      <c r="G1985" s="761" t="s">
        <v>6622</v>
      </c>
      <c r="H1985" s="824" t="s">
        <v>28</v>
      </c>
      <c r="I1985" s="829" t="s">
        <v>6019</v>
      </c>
      <c r="J1985" s="830" t="s">
        <v>6225</v>
      </c>
      <c r="K1985" s="825">
        <v>68181.820000000007</v>
      </c>
      <c r="L1985" s="826">
        <v>60.722200000000001</v>
      </c>
      <c r="M1985" s="825">
        <f t="shared" si="162"/>
        <v>1122.8483157724852</v>
      </c>
      <c r="N1985" s="833">
        <v>60</v>
      </c>
      <c r="O1985" s="834">
        <f t="shared" si="158"/>
        <v>1136.3636666666669</v>
      </c>
      <c r="P1985" s="835">
        <f t="shared" ca="1" si="160"/>
        <v>6</v>
      </c>
      <c r="Q1985" s="825">
        <f t="shared" ca="1" si="159"/>
        <v>61363.638000000006</v>
      </c>
      <c r="R1985" s="825">
        <f t="shared" ca="1" si="161"/>
        <v>61363.638000000006</v>
      </c>
      <c r="S1985" s="836" t="s">
        <v>6640</v>
      </c>
    </row>
    <row r="1986" spans="2:19" ht="45" customHeight="1" x14ac:dyDescent="0.25">
      <c r="B1986" s="864">
        <v>45667</v>
      </c>
      <c r="C1986" s="828">
        <v>45812</v>
      </c>
      <c r="D1986" s="823"/>
      <c r="E1986" s="848" t="s">
        <v>6988</v>
      </c>
      <c r="F1986" s="734" t="s">
        <v>6657</v>
      </c>
      <c r="G1986" s="761" t="s">
        <v>6622</v>
      </c>
      <c r="H1986" s="824" t="s">
        <v>28</v>
      </c>
      <c r="I1986" s="829" t="s">
        <v>6019</v>
      </c>
      <c r="J1986" s="830" t="s">
        <v>6225</v>
      </c>
      <c r="K1986" s="825">
        <v>68181.820000000007</v>
      </c>
      <c r="L1986" s="826">
        <v>60.722200000000001</v>
      </c>
      <c r="M1986" s="825">
        <f t="shared" si="162"/>
        <v>1122.8483157724852</v>
      </c>
      <c r="N1986" s="833">
        <v>60</v>
      </c>
      <c r="O1986" s="834">
        <f t="shared" si="158"/>
        <v>1136.3636666666669</v>
      </c>
      <c r="P1986" s="835">
        <f t="shared" ca="1" si="160"/>
        <v>6</v>
      </c>
      <c r="Q1986" s="825">
        <f t="shared" ca="1" si="159"/>
        <v>61363.638000000006</v>
      </c>
      <c r="R1986" s="825">
        <f t="shared" ca="1" si="161"/>
        <v>61363.638000000006</v>
      </c>
      <c r="S1986" s="836" t="s">
        <v>6640</v>
      </c>
    </row>
    <row r="1987" spans="2:19" ht="45" customHeight="1" x14ac:dyDescent="0.25">
      <c r="B1987" s="864">
        <v>45667</v>
      </c>
      <c r="C1987" s="828">
        <v>45812</v>
      </c>
      <c r="D1987" s="823"/>
      <c r="E1987" s="848" t="s">
        <v>6988</v>
      </c>
      <c r="F1987" s="734" t="s">
        <v>6658</v>
      </c>
      <c r="G1987" s="761" t="s">
        <v>6622</v>
      </c>
      <c r="H1987" s="824" t="s">
        <v>28</v>
      </c>
      <c r="I1987" s="829" t="s">
        <v>6019</v>
      </c>
      <c r="J1987" s="830" t="s">
        <v>6225</v>
      </c>
      <c r="K1987" s="825">
        <v>68181.820000000007</v>
      </c>
      <c r="L1987" s="826">
        <v>60.722200000000001</v>
      </c>
      <c r="M1987" s="825">
        <f t="shared" si="162"/>
        <v>1122.8483157724852</v>
      </c>
      <c r="N1987" s="833">
        <v>60</v>
      </c>
      <c r="O1987" s="834">
        <f t="shared" si="158"/>
        <v>1136.3636666666669</v>
      </c>
      <c r="P1987" s="835">
        <f t="shared" ca="1" si="160"/>
        <v>6</v>
      </c>
      <c r="Q1987" s="825">
        <f t="shared" ca="1" si="159"/>
        <v>61363.638000000006</v>
      </c>
      <c r="R1987" s="825">
        <f t="shared" ca="1" si="161"/>
        <v>61363.638000000006</v>
      </c>
      <c r="S1987" s="836" t="s">
        <v>6640</v>
      </c>
    </row>
    <row r="1988" spans="2:19" ht="45" customHeight="1" x14ac:dyDescent="0.25">
      <c r="B1988" s="864">
        <v>45667</v>
      </c>
      <c r="C1988" s="828">
        <v>45812</v>
      </c>
      <c r="D1988" s="823"/>
      <c r="E1988" s="848" t="s">
        <v>6988</v>
      </c>
      <c r="F1988" s="734" t="s">
        <v>6659</v>
      </c>
      <c r="G1988" s="761" t="s">
        <v>6622</v>
      </c>
      <c r="H1988" s="824" t="s">
        <v>28</v>
      </c>
      <c r="I1988" s="829" t="s">
        <v>6019</v>
      </c>
      <c r="J1988" s="830" t="s">
        <v>6225</v>
      </c>
      <c r="K1988" s="825">
        <v>68181.820000000007</v>
      </c>
      <c r="L1988" s="826">
        <v>60.722200000000001</v>
      </c>
      <c r="M1988" s="825">
        <f t="shared" si="162"/>
        <v>1122.8483157724852</v>
      </c>
      <c r="N1988" s="833">
        <v>60</v>
      </c>
      <c r="O1988" s="834">
        <f t="shared" ref="O1988:O2051" si="163">+K1988/N1988</f>
        <v>1136.3636666666669</v>
      </c>
      <c r="P1988" s="835">
        <f t="shared" ca="1" si="160"/>
        <v>6</v>
      </c>
      <c r="Q1988" s="825">
        <f t="shared" ca="1" si="159"/>
        <v>61363.638000000006</v>
      </c>
      <c r="R1988" s="825">
        <f t="shared" ca="1" si="161"/>
        <v>61363.638000000006</v>
      </c>
      <c r="S1988" s="836" t="s">
        <v>6640</v>
      </c>
    </row>
    <row r="1989" spans="2:19" ht="45" customHeight="1" x14ac:dyDescent="0.25">
      <c r="B1989" s="864">
        <v>45667</v>
      </c>
      <c r="C1989" s="828">
        <v>45812</v>
      </c>
      <c r="D1989" s="823"/>
      <c r="E1989" s="848" t="s">
        <v>6988</v>
      </c>
      <c r="F1989" s="734" t="s">
        <v>6660</v>
      </c>
      <c r="G1989" s="761" t="s">
        <v>6622</v>
      </c>
      <c r="H1989" s="824" t="s">
        <v>28</v>
      </c>
      <c r="I1989" s="829" t="s">
        <v>6019</v>
      </c>
      <c r="J1989" s="830" t="s">
        <v>6225</v>
      </c>
      <c r="K1989" s="825">
        <v>68181.820000000007</v>
      </c>
      <c r="L1989" s="826">
        <v>60.722200000000001</v>
      </c>
      <c r="M1989" s="825">
        <f t="shared" si="162"/>
        <v>1122.8483157724852</v>
      </c>
      <c r="N1989" s="833">
        <v>60</v>
      </c>
      <c r="O1989" s="834">
        <f t="shared" si="163"/>
        <v>1136.3636666666669</v>
      </c>
      <c r="P1989" s="835">
        <f t="shared" ca="1" si="160"/>
        <v>6</v>
      </c>
      <c r="Q1989" s="825">
        <f t="shared" ca="1" si="159"/>
        <v>61363.638000000006</v>
      </c>
      <c r="R1989" s="825">
        <f t="shared" ca="1" si="161"/>
        <v>61363.638000000006</v>
      </c>
      <c r="S1989" s="836" t="s">
        <v>6640</v>
      </c>
    </row>
    <row r="1990" spans="2:19" ht="45" customHeight="1" x14ac:dyDescent="0.25">
      <c r="B1990" s="864">
        <v>45667</v>
      </c>
      <c r="C1990" s="828">
        <v>45812</v>
      </c>
      <c r="D1990" s="823"/>
      <c r="E1990" s="848" t="s">
        <v>6988</v>
      </c>
      <c r="F1990" s="734" t="s">
        <v>6661</v>
      </c>
      <c r="G1990" s="761" t="s">
        <v>6622</v>
      </c>
      <c r="H1990" s="824" t="s">
        <v>28</v>
      </c>
      <c r="I1990" s="829" t="s">
        <v>6019</v>
      </c>
      <c r="J1990" s="830" t="s">
        <v>6225</v>
      </c>
      <c r="K1990" s="825">
        <v>68181.820000000007</v>
      </c>
      <c r="L1990" s="826">
        <v>60.722200000000001</v>
      </c>
      <c r="M1990" s="825">
        <f t="shared" si="162"/>
        <v>1122.8483157724852</v>
      </c>
      <c r="N1990" s="833">
        <v>60</v>
      </c>
      <c r="O1990" s="834">
        <f t="shared" si="163"/>
        <v>1136.3636666666669</v>
      </c>
      <c r="P1990" s="835">
        <f t="shared" ca="1" si="160"/>
        <v>6</v>
      </c>
      <c r="Q1990" s="825">
        <f t="shared" ca="1" si="159"/>
        <v>61363.638000000006</v>
      </c>
      <c r="R1990" s="825">
        <f t="shared" ca="1" si="161"/>
        <v>61363.638000000006</v>
      </c>
      <c r="S1990" s="836" t="s">
        <v>6640</v>
      </c>
    </row>
    <row r="1991" spans="2:19" ht="45" customHeight="1" x14ac:dyDescent="0.25">
      <c r="B1991" s="864">
        <v>45667</v>
      </c>
      <c r="C1991" s="828">
        <v>45812</v>
      </c>
      <c r="D1991" s="823"/>
      <c r="E1991" s="848" t="s">
        <v>6988</v>
      </c>
      <c r="F1991" s="734" t="s">
        <v>6662</v>
      </c>
      <c r="G1991" s="761" t="s">
        <v>6622</v>
      </c>
      <c r="H1991" s="824" t="s">
        <v>28</v>
      </c>
      <c r="I1991" s="829" t="s">
        <v>6019</v>
      </c>
      <c r="J1991" s="830" t="s">
        <v>6225</v>
      </c>
      <c r="K1991" s="825">
        <v>68181.820000000007</v>
      </c>
      <c r="L1991" s="826">
        <v>60.722200000000001</v>
      </c>
      <c r="M1991" s="825">
        <f t="shared" si="162"/>
        <v>1122.8483157724852</v>
      </c>
      <c r="N1991" s="833">
        <v>60</v>
      </c>
      <c r="O1991" s="834">
        <f t="shared" si="163"/>
        <v>1136.3636666666669</v>
      </c>
      <c r="P1991" s="835">
        <f t="shared" ca="1" si="160"/>
        <v>6</v>
      </c>
      <c r="Q1991" s="825">
        <f t="shared" ca="1" si="159"/>
        <v>61363.638000000006</v>
      </c>
      <c r="R1991" s="825">
        <f t="shared" ca="1" si="161"/>
        <v>61363.638000000006</v>
      </c>
      <c r="S1991" s="836" t="s">
        <v>6640</v>
      </c>
    </row>
    <row r="1992" spans="2:19" ht="45" customHeight="1" x14ac:dyDescent="0.25">
      <c r="B1992" s="864">
        <v>45667</v>
      </c>
      <c r="C1992" s="828">
        <v>45814</v>
      </c>
      <c r="D1992" s="823"/>
      <c r="E1992" s="848" t="s">
        <v>6988</v>
      </c>
      <c r="F1992" s="734" t="s">
        <v>6784</v>
      </c>
      <c r="G1992" s="761" t="s">
        <v>6634</v>
      </c>
      <c r="H1992" s="824" t="s">
        <v>28</v>
      </c>
      <c r="I1992" s="829" t="s">
        <v>6019</v>
      </c>
      <c r="J1992" s="830" t="s">
        <v>6225</v>
      </c>
      <c r="K1992" s="825">
        <v>20001</v>
      </c>
      <c r="L1992" s="826">
        <v>60.722200000000001</v>
      </c>
      <c r="M1992" s="825">
        <f t="shared" si="162"/>
        <v>329.38529895161901</v>
      </c>
      <c r="N1992" s="833">
        <v>60</v>
      </c>
      <c r="O1992" s="834">
        <f t="shared" si="163"/>
        <v>333.35</v>
      </c>
      <c r="P1992" s="835">
        <f t="shared" ca="1" si="160"/>
        <v>6</v>
      </c>
      <c r="Q1992" s="825">
        <f t="shared" ca="1" si="159"/>
        <v>18000.900000000001</v>
      </c>
      <c r="R1992" s="825">
        <f t="shared" ca="1" si="161"/>
        <v>18000.900000000001</v>
      </c>
      <c r="S1992" s="836" t="s">
        <v>6640</v>
      </c>
    </row>
    <row r="1993" spans="2:19" ht="45" customHeight="1" x14ac:dyDescent="0.25">
      <c r="B1993" s="864">
        <v>45667</v>
      </c>
      <c r="C1993" s="828">
        <v>45814</v>
      </c>
      <c r="D1993" s="823"/>
      <c r="E1993" s="848" t="s">
        <v>6988</v>
      </c>
      <c r="F1993" s="734" t="s">
        <v>6785</v>
      </c>
      <c r="G1993" s="761" t="s">
        <v>6634</v>
      </c>
      <c r="H1993" s="824" t="s">
        <v>28</v>
      </c>
      <c r="I1993" s="829" t="s">
        <v>6019</v>
      </c>
      <c r="J1993" s="830" t="s">
        <v>6225</v>
      </c>
      <c r="K1993" s="825">
        <v>20001</v>
      </c>
      <c r="L1993" s="826">
        <v>60.722200000000001</v>
      </c>
      <c r="M1993" s="825">
        <f t="shared" si="162"/>
        <v>329.38529895161901</v>
      </c>
      <c r="N1993" s="833">
        <v>60</v>
      </c>
      <c r="O1993" s="834">
        <f t="shared" si="163"/>
        <v>333.35</v>
      </c>
      <c r="P1993" s="835">
        <f t="shared" ca="1" si="160"/>
        <v>6</v>
      </c>
      <c r="Q1993" s="825">
        <f t="shared" ca="1" si="159"/>
        <v>18000.900000000001</v>
      </c>
      <c r="R1993" s="825">
        <f t="shared" ca="1" si="161"/>
        <v>18000.900000000001</v>
      </c>
      <c r="S1993" s="836" t="s">
        <v>6640</v>
      </c>
    </row>
    <row r="1994" spans="2:19" ht="45" customHeight="1" x14ac:dyDescent="0.25">
      <c r="B1994" s="864">
        <v>45667</v>
      </c>
      <c r="C1994" s="828">
        <v>45814</v>
      </c>
      <c r="D1994" s="823"/>
      <c r="E1994" s="848" t="s">
        <v>6988</v>
      </c>
      <c r="F1994" s="734" t="s">
        <v>6786</v>
      </c>
      <c r="G1994" s="761" t="s">
        <v>6634</v>
      </c>
      <c r="H1994" s="824" t="s">
        <v>28</v>
      </c>
      <c r="I1994" s="829" t="s">
        <v>6019</v>
      </c>
      <c r="J1994" s="830" t="s">
        <v>6225</v>
      </c>
      <c r="K1994" s="825">
        <v>20001</v>
      </c>
      <c r="L1994" s="826">
        <v>60.722200000000001</v>
      </c>
      <c r="M1994" s="825">
        <f t="shared" si="162"/>
        <v>329.38529895161901</v>
      </c>
      <c r="N1994" s="833">
        <v>60</v>
      </c>
      <c r="O1994" s="834">
        <f t="shared" si="163"/>
        <v>333.35</v>
      </c>
      <c r="P1994" s="835">
        <f t="shared" ca="1" si="160"/>
        <v>6</v>
      </c>
      <c r="Q1994" s="825">
        <f t="shared" ca="1" si="159"/>
        <v>18000.900000000001</v>
      </c>
      <c r="R1994" s="825">
        <f t="shared" ca="1" si="161"/>
        <v>18000.900000000001</v>
      </c>
      <c r="S1994" s="836" t="s">
        <v>6640</v>
      </c>
    </row>
    <row r="1995" spans="2:19" ht="45" customHeight="1" x14ac:dyDescent="0.25">
      <c r="B1995" s="864">
        <v>45667</v>
      </c>
      <c r="C1995" s="828">
        <v>45814</v>
      </c>
      <c r="D1995" s="823"/>
      <c r="E1995" s="848" t="s">
        <v>6988</v>
      </c>
      <c r="F1995" s="734" t="s">
        <v>6787</v>
      </c>
      <c r="G1995" s="761" t="s">
        <v>6634</v>
      </c>
      <c r="H1995" s="824" t="s">
        <v>28</v>
      </c>
      <c r="I1995" s="829" t="s">
        <v>6019</v>
      </c>
      <c r="J1995" s="830" t="s">
        <v>6225</v>
      </c>
      <c r="K1995" s="825">
        <v>20001</v>
      </c>
      <c r="L1995" s="826">
        <v>60.722200000000001</v>
      </c>
      <c r="M1995" s="825">
        <f t="shared" si="162"/>
        <v>329.38529895161901</v>
      </c>
      <c r="N1995" s="833">
        <v>60</v>
      </c>
      <c r="O1995" s="834">
        <f t="shared" si="163"/>
        <v>333.35</v>
      </c>
      <c r="P1995" s="835">
        <f t="shared" ca="1" si="160"/>
        <v>6</v>
      </c>
      <c r="Q1995" s="825">
        <f t="shared" ca="1" si="159"/>
        <v>18000.900000000001</v>
      </c>
      <c r="R1995" s="825">
        <f t="shared" ca="1" si="161"/>
        <v>18000.900000000001</v>
      </c>
      <c r="S1995" s="836" t="s">
        <v>6640</v>
      </c>
    </row>
    <row r="1996" spans="2:19" ht="45" customHeight="1" x14ac:dyDescent="0.25">
      <c r="B1996" s="864">
        <v>45667</v>
      </c>
      <c r="C1996" s="828">
        <v>45814</v>
      </c>
      <c r="D1996" s="823"/>
      <c r="E1996" s="848" t="s">
        <v>6988</v>
      </c>
      <c r="F1996" s="734" t="s">
        <v>6690</v>
      </c>
      <c r="G1996" s="761" t="s">
        <v>6629</v>
      </c>
      <c r="H1996" s="824" t="s">
        <v>28</v>
      </c>
      <c r="I1996" s="829" t="s">
        <v>6019</v>
      </c>
      <c r="J1996" s="830" t="s">
        <v>6225</v>
      </c>
      <c r="K1996" s="825">
        <v>61362.36</v>
      </c>
      <c r="L1996" s="826">
        <v>60.722200000000001</v>
      </c>
      <c r="M1996" s="825">
        <f t="shared" si="162"/>
        <v>1010.5424375269671</v>
      </c>
      <c r="N1996" s="833">
        <v>60</v>
      </c>
      <c r="O1996" s="834">
        <f t="shared" si="163"/>
        <v>1022.706</v>
      </c>
      <c r="P1996" s="835">
        <f t="shared" ca="1" si="160"/>
        <v>6</v>
      </c>
      <c r="Q1996" s="825">
        <f t="shared" ca="1" si="159"/>
        <v>55226.124000000003</v>
      </c>
      <c r="R1996" s="825">
        <f t="shared" ca="1" si="161"/>
        <v>55226.124000000003</v>
      </c>
      <c r="S1996" s="836" t="s">
        <v>6640</v>
      </c>
    </row>
    <row r="1997" spans="2:19" ht="45" customHeight="1" x14ac:dyDescent="0.25">
      <c r="B1997" s="864">
        <v>45667</v>
      </c>
      <c r="C1997" s="828">
        <v>45814</v>
      </c>
      <c r="D1997" s="823"/>
      <c r="E1997" s="848" t="s">
        <v>6988</v>
      </c>
      <c r="F1997" s="734" t="s">
        <v>6691</v>
      </c>
      <c r="G1997" s="761" t="s">
        <v>6629</v>
      </c>
      <c r="H1997" s="824" t="s">
        <v>28</v>
      </c>
      <c r="I1997" s="829" t="s">
        <v>6019</v>
      </c>
      <c r="J1997" s="830" t="s">
        <v>6225</v>
      </c>
      <c r="K1997" s="825">
        <v>61362.36</v>
      </c>
      <c r="L1997" s="826">
        <v>60.722200000000001</v>
      </c>
      <c r="M1997" s="825">
        <f t="shared" si="162"/>
        <v>1010.5424375269671</v>
      </c>
      <c r="N1997" s="833">
        <v>60</v>
      </c>
      <c r="O1997" s="834">
        <f t="shared" si="163"/>
        <v>1022.706</v>
      </c>
      <c r="P1997" s="835">
        <f t="shared" ca="1" si="160"/>
        <v>6</v>
      </c>
      <c r="Q1997" s="825">
        <f t="shared" ca="1" si="159"/>
        <v>55226.124000000003</v>
      </c>
      <c r="R1997" s="825">
        <f t="shared" ca="1" si="161"/>
        <v>55226.124000000003</v>
      </c>
      <c r="S1997" s="836" t="s">
        <v>6640</v>
      </c>
    </row>
    <row r="1998" spans="2:19" ht="45" customHeight="1" x14ac:dyDescent="0.25">
      <c r="B1998" s="864">
        <v>45667</v>
      </c>
      <c r="C1998" s="828">
        <v>45814</v>
      </c>
      <c r="D1998" s="823"/>
      <c r="E1998" s="848" t="s">
        <v>6988</v>
      </c>
      <c r="F1998" s="734" t="s">
        <v>6692</v>
      </c>
      <c r="G1998" s="761" t="s">
        <v>6629</v>
      </c>
      <c r="H1998" s="824" t="s">
        <v>28</v>
      </c>
      <c r="I1998" s="829" t="s">
        <v>6019</v>
      </c>
      <c r="J1998" s="830" t="s">
        <v>6225</v>
      </c>
      <c r="K1998" s="825">
        <v>61362.36</v>
      </c>
      <c r="L1998" s="826">
        <v>60.722200000000001</v>
      </c>
      <c r="M1998" s="825">
        <f t="shared" si="162"/>
        <v>1010.5424375269671</v>
      </c>
      <c r="N1998" s="833">
        <v>60</v>
      </c>
      <c r="O1998" s="834">
        <f t="shared" si="163"/>
        <v>1022.706</v>
      </c>
      <c r="P1998" s="835">
        <f t="shared" ca="1" si="160"/>
        <v>6</v>
      </c>
      <c r="Q1998" s="825">
        <f t="shared" ca="1" si="159"/>
        <v>55226.124000000003</v>
      </c>
      <c r="R1998" s="825">
        <f t="shared" ca="1" si="161"/>
        <v>55226.124000000003</v>
      </c>
      <c r="S1998" s="836" t="s">
        <v>6640</v>
      </c>
    </row>
    <row r="1999" spans="2:19" ht="45" customHeight="1" x14ac:dyDescent="0.25">
      <c r="B1999" s="864">
        <v>45667</v>
      </c>
      <c r="C1999" s="828">
        <v>45814</v>
      </c>
      <c r="D1999" s="823"/>
      <c r="E1999" s="848" t="s">
        <v>6988</v>
      </c>
      <c r="F1999" s="734" t="s">
        <v>6693</v>
      </c>
      <c r="G1999" s="761" t="s">
        <v>6629</v>
      </c>
      <c r="H1999" s="824" t="s">
        <v>28</v>
      </c>
      <c r="I1999" s="829" t="s">
        <v>6019</v>
      </c>
      <c r="J1999" s="830" t="s">
        <v>6225</v>
      </c>
      <c r="K1999" s="825">
        <v>61362.36</v>
      </c>
      <c r="L1999" s="826">
        <v>60.722200000000001</v>
      </c>
      <c r="M1999" s="825">
        <f t="shared" si="162"/>
        <v>1010.5424375269671</v>
      </c>
      <c r="N1999" s="833">
        <v>60</v>
      </c>
      <c r="O1999" s="834">
        <f t="shared" si="163"/>
        <v>1022.706</v>
      </c>
      <c r="P1999" s="835">
        <f t="shared" ca="1" si="160"/>
        <v>6</v>
      </c>
      <c r="Q1999" s="825">
        <f t="shared" ca="1" si="159"/>
        <v>55226.124000000003</v>
      </c>
      <c r="R1999" s="825">
        <f t="shared" ca="1" si="161"/>
        <v>55226.124000000003</v>
      </c>
      <c r="S1999" s="836" t="s">
        <v>6640</v>
      </c>
    </row>
    <row r="2000" spans="2:19" ht="45" customHeight="1" x14ac:dyDescent="0.25">
      <c r="B2000" s="864">
        <v>45667</v>
      </c>
      <c r="C2000" s="828">
        <v>45814</v>
      </c>
      <c r="D2000" s="823"/>
      <c r="E2000" s="848" t="s">
        <v>6988</v>
      </c>
      <c r="F2000" s="734" t="s">
        <v>6694</v>
      </c>
      <c r="G2000" s="761" t="s">
        <v>6629</v>
      </c>
      <c r="H2000" s="824" t="s">
        <v>28</v>
      </c>
      <c r="I2000" s="829" t="s">
        <v>6019</v>
      </c>
      <c r="J2000" s="830" t="s">
        <v>6225</v>
      </c>
      <c r="K2000" s="825">
        <v>61362.36</v>
      </c>
      <c r="L2000" s="826">
        <v>60.722200000000001</v>
      </c>
      <c r="M2000" s="825">
        <f t="shared" si="162"/>
        <v>1010.5424375269671</v>
      </c>
      <c r="N2000" s="833">
        <v>60</v>
      </c>
      <c r="O2000" s="834">
        <f t="shared" si="163"/>
        <v>1022.706</v>
      </c>
      <c r="P2000" s="835">
        <f t="shared" ca="1" si="160"/>
        <v>6</v>
      </c>
      <c r="Q2000" s="825">
        <f t="shared" ca="1" si="159"/>
        <v>55226.124000000003</v>
      </c>
      <c r="R2000" s="825">
        <f t="shared" ca="1" si="161"/>
        <v>55226.124000000003</v>
      </c>
      <c r="S2000" s="836" t="s">
        <v>6640</v>
      </c>
    </row>
    <row r="2001" spans="2:19" ht="45" customHeight="1" x14ac:dyDescent="0.25">
      <c r="B2001" s="864">
        <v>45667</v>
      </c>
      <c r="C2001" s="828">
        <v>45817</v>
      </c>
      <c r="D2001" s="823"/>
      <c r="E2001" s="848" t="s">
        <v>6988</v>
      </c>
      <c r="F2001" s="734" t="s">
        <v>6591</v>
      </c>
      <c r="G2001" s="761" t="s">
        <v>6592</v>
      </c>
      <c r="H2001" s="824" t="s">
        <v>28</v>
      </c>
      <c r="I2001" s="829" t="s">
        <v>6019</v>
      </c>
      <c r="J2001" s="830" t="s">
        <v>6225</v>
      </c>
      <c r="K2001" s="825">
        <v>12712</v>
      </c>
      <c r="L2001" s="826">
        <v>60.722200000000001</v>
      </c>
      <c r="M2001" s="825">
        <f t="shared" si="162"/>
        <v>209.34682867221542</v>
      </c>
      <c r="N2001" s="833">
        <v>60</v>
      </c>
      <c r="O2001" s="834">
        <f t="shared" si="163"/>
        <v>211.86666666666667</v>
      </c>
      <c r="P2001" s="835">
        <f t="shared" ca="1" si="160"/>
        <v>6</v>
      </c>
      <c r="Q2001" s="825">
        <f t="shared" ref="Q2001:Q2064" ca="1" si="164">IF(OR(K2001=0,N2001=0,P2001=0),0,K2001-(O2001*P2001))</f>
        <v>11440.8</v>
      </c>
      <c r="R2001" s="825">
        <f t="shared" ca="1" si="161"/>
        <v>11440.8</v>
      </c>
      <c r="S2001" s="836" t="s">
        <v>6640</v>
      </c>
    </row>
    <row r="2002" spans="2:19" ht="45" customHeight="1" x14ac:dyDescent="0.25">
      <c r="B2002" s="864">
        <v>45667</v>
      </c>
      <c r="C2002" s="828">
        <v>45817</v>
      </c>
      <c r="D2002" s="823"/>
      <c r="E2002" s="848" t="s">
        <v>6988</v>
      </c>
      <c r="F2002" s="734" t="s">
        <v>6593</v>
      </c>
      <c r="G2002" s="761" t="s">
        <v>6592</v>
      </c>
      <c r="H2002" s="824" t="s">
        <v>28</v>
      </c>
      <c r="I2002" s="829" t="s">
        <v>6019</v>
      </c>
      <c r="J2002" s="830" t="s">
        <v>6225</v>
      </c>
      <c r="K2002" s="825">
        <v>12712</v>
      </c>
      <c r="L2002" s="826">
        <v>60.722200000000001</v>
      </c>
      <c r="M2002" s="825">
        <f t="shared" si="162"/>
        <v>209.34682867221542</v>
      </c>
      <c r="N2002" s="833">
        <v>60</v>
      </c>
      <c r="O2002" s="834">
        <f t="shared" si="163"/>
        <v>211.86666666666667</v>
      </c>
      <c r="P2002" s="835">
        <f t="shared" ca="1" si="160"/>
        <v>6</v>
      </c>
      <c r="Q2002" s="825">
        <f t="shared" ca="1" si="164"/>
        <v>11440.8</v>
      </c>
      <c r="R2002" s="825">
        <f t="shared" ca="1" si="161"/>
        <v>11440.8</v>
      </c>
      <c r="S2002" s="836" t="s">
        <v>6640</v>
      </c>
    </row>
    <row r="2003" spans="2:19" ht="45" customHeight="1" x14ac:dyDescent="0.25">
      <c r="B2003" s="864">
        <v>45667</v>
      </c>
      <c r="C2003" s="828">
        <v>45817</v>
      </c>
      <c r="D2003" s="823"/>
      <c r="E2003" s="848" t="s">
        <v>6988</v>
      </c>
      <c r="F2003" s="734" t="s">
        <v>6594</v>
      </c>
      <c r="G2003" s="761" t="s">
        <v>6592</v>
      </c>
      <c r="H2003" s="824" t="s">
        <v>28</v>
      </c>
      <c r="I2003" s="829" t="s">
        <v>6019</v>
      </c>
      <c r="J2003" s="830" t="s">
        <v>6225</v>
      </c>
      <c r="K2003" s="825">
        <v>12712</v>
      </c>
      <c r="L2003" s="826">
        <v>60.722200000000001</v>
      </c>
      <c r="M2003" s="825">
        <f t="shared" si="162"/>
        <v>209.34682867221542</v>
      </c>
      <c r="N2003" s="833">
        <v>60</v>
      </c>
      <c r="O2003" s="834">
        <f t="shared" si="163"/>
        <v>211.86666666666667</v>
      </c>
      <c r="P2003" s="835">
        <f t="shared" ca="1" si="160"/>
        <v>6</v>
      </c>
      <c r="Q2003" s="825">
        <f t="shared" ca="1" si="164"/>
        <v>11440.8</v>
      </c>
      <c r="R2003" s="825">
        <f t="shared" ca="1" si="161"/>
        <v>11440.8</v>
      </c>
      <c r="S2003" s="836" t="s">
        <v>6640</v>
      </c>
    </row>
    <row r="2004" spans="2:19" ht="45" customHeight="1" x14ac:dyDescent="0.25">
      <c r="B2004" s="864">
        <v>45667</v>
      </c>
      <c r="C2004" s="828">
        <v>45817</v>
      </c>
      <c r="D2004" s="823"/>
      <c r="E2004" s="848" t="s">
        <v>6988</v>
      </c>
      <c r="F2004" s="734" t="s">
        <v>6595</v>
      </c>
      <c r="G2004" s="761" t="s">
        <v>6592</v>
      </c>
      <c r="H2004" s="824" t="s">
        <v>28</v>
      </c>
      <c r="I2004" s="829" t="s">
        <v>6019</v>
      </c>
      <c r="J2004" s="830" t="s">
        <v>6225</v>
      </c>
      <c r="K2004" s="825">
        <v>12712</v>
      </c>
      <c r="L2004" s="826">
        <v>60.722200000000001</v>
      </c>
      <c r="M2004" s="825">
        <f t="shared" si="162"/>
        <v>209.34682867221542</v>
      </c>
      <c r="N2004" s="833">
        <v>60</v>
      </c>
      <c r="O2004" s="834">
        <f t="shared" si="163"/>
        <v>211.86666666666667</v>
      </c>
      <c r="P2004" s="835">
        <f t="shared" ca="1" si="160"/>
        <v>6</v>
      </c>
      <c r="Q2004" s="825">
        <f t="shared" ca="1" si="164"/>
        <v>11440.8</v>
      </c>
      <c r="R2004" s="825">
        <f t="shared" ca="1" si="161"/>
        <v>11440.8</v>
      </c>
      <c r="S2004" s="836" t="s">
        <v>6640</v>
      </c>
    </row>
    <row r="2005" spans="2:19" ht="45" customHeight="1" x14ac:dyDescent="0.25">
      <c r="B2005" s="864">
        <v>45667</v>
      </c>
      <c r="C2005" s="828">
        <v>45817</v>
      </c>
      <c r="D2005" s="823"/>
      <c r="E2005" s="848" t="s">
        <v>6988</v>
      </c>
      <c r="F2005" s="734" t="s">
        <v>6596</v>
      </c>
      <c r="G2005" s="761" t="s">
        <v>6592</v>
      </c>
      <c r="H2005" s="824" t="s">
        <v>28</v>
      </c>
      <c r="I2005" s="829" t="s">
        <v>6019</v>
      </c>
      <c r="J2005" s="830" t="s">
        <v>6225</v>
      </c>
      <c r="K2005" s="825">
        <v>12712</v>
      </c>
      <c r="L2005" s="826">
        <v>60.722200000000001</v>
      </c>
      <c r="M2005" s="825">
        <f t="shared" si="162"/>
        <v>209.34682867221542</v>
      </c>
      <c r="N2005" s="833">
        <v>60</v>
      </c>
      <c r="O2005" s="834">
        <f t="shared" si="163"/>
        <v>211.86666666666667</v>
      </c>
      <c r="P2005" s="835">
        <f t="shared" ca="1" si="160"/>
        <v>6</v>
      </c>
      <c r="Q2005" s="825">
        <f t="shared" ca="1" si="164"/>
        <v>11440.8</v>
      </c>
      <c r="R2005" s="825">
        <f t="shared" ca="1" si="161"/>
        <v>11440.8</v>
      </c>
      <c r="S2005" s="836" t="s">
        <v>6640</v>
      </c>
    </row>
    <row r="2006" spans="2:19" ht="45" customHeight="1" x14ac:dyDescent="0.25">
      <c r="B2006" s="864">
        <v>45667</v>
      </c>
      <c r="C2006" s="828">
        <v>45817</v>
      </c>
      <c r="D2006" s="823"/>
      <c r="E2006" s="848" t="s">
        <v>6988</v>
      </c>
      <c r="F2006" s="734" t="s">
        <v>6597</v>
      </c>
      <c r="G2006" s="761" t="s">
        <v>6592</v>
      </c>
      <c r="H2006" s="824" t="s">
        <v>28</v>
      </c>
      <c r="I2006" s="829" t="s">
        <v>6019</v>
      </c>
      <c r="J2006" s="830" t="s">
        <v>6225</v>
      </c>
      <c r="K2006" s="825">
        <v>12712</v>
      </c>
      <c r="L2006" s="826">
        <v>60.722200000000001</v>
      </c>
      <c r="M2006" s="825">
        <f t="shared" si="162"/>
        <v>209.34682867221542</v>
      </c>
      <c r="N2006" s="833">
        <v>60</v>
      </c>
      <c r="O2006" s="834">
        <f t="shared" si="163"/>
        <v>211.86666666666667</v>
      </c>
      <c r="P2006" s="835">
        <f t="shared" ca="1" si="160"/>
        <v>6</v>
      </c>
      <c r="Q2006" s="825">
        <f t="shared" ca="1" si="164"/>
        <v>11440.8</v>
      </c>
      <c r="R2006" s="825">
        <f t="shared" ca="1" si="161"/>
        <v>11440.8</v>
      </c>
      <c r="S2006" s="836" t="s">
        <v>6640</v>
      </c>
    </row>
    <row r="2007" spans="2:19" ht="45" customHeight="1" x14ac:dyDescent="0.25">
      <c r="B2007" s="864">
        <v>45667</v>
      </c>
      <c r="C2007" s="828">
        <v>45817</v>
      </c>
      <c r="D2007" s="823"/>
      <c r="E2007" s="848" t="s">
        <v>6988</v>
      </c>
      <c r="F2007" s="734" t="s">
        <v>6598</v>
      </c>
      <c r="G2007" s="761" t="s">
        <v>6592</v>
      </c>
      <c r="H2007" s="824" t="s">
        <v>28</v>
      </c>
      <c r="I2007" s="829" t="s">
        <v>6019</v>
      </c>
      <c r="J2007" s="830" t="s">
        <v>6225</v>
      </c>
      <c r="K2007" s="825">
        <v>12712</v>
      </c>
      <c r="L2007" s="826">
        <v>60.722200000000001</v>
      </c>
      <c r="M2007" s="825">
        <f t="shared" si="162"/>
        <v>209.34682867221542</v>
      </c>
      <c r="N2007" s="833">
        <v>60</v>
      </c>
      <c r="O2007" s="834">
        <f t="shared" si="163"/>
        <v>211.86666666666667</v>
      </c>
      <c r="P2007" s="835">
        <f t="shared" ref="P2007:P2070" ca="1" si="165">IF(B2007&lt;&gt;0,(ROUND((NOW()-B2007)/30,0)),0)</f>
        <v>6</v>
      </c>
      <c r="Q2007" s="825">
        <f t="shared" ca="1" si="164"/>
        <v>11440.8</v>
      </c>
      <c r="R2007" s="825">
        <f t="shared" ref="R2007:R2070" ca="1" si="166">IF(Q2007&lt;1,1,Q2007)</f>
        <v>11440.8</v>
      </c>
      <c r="S2007" s="836" t="s">
        <v>6640</v>
      </c>
    </row>
    <row r="2008" spans="2:19" ht="45" customHeight="1" x14ac:dyDescent="0.25">
      <c r="B2008" s="864">
        <v>45667</v>
      </c>
      <c r="C2008" s="828">
        <v>45817</v>
      </c>
      <c r="D2008" s="823"/>
      <c r="E2008" s="848" t="s">
        <v>6988</v>
      </c>
      <c r="F2008" s="734" t="s">
        <v>6599</v>
      </c>
      <c r="G2008" s="761" t="s">
        <v>6592</v>
      </c>
      <c r="H2008" s="824" t="s">
        <v>28</v>
      </c>
      <c r="I2008" s="829" t="s">
        <v>6019</v>
      </c>
      <c r="J2008" s="830" t="s">
        <v>6225</v>
      </c>
      <c r="K2008" s="825">
        <v>12712</v>
      </c>
      <c r="L2008" s="826">
        <v>60.722200000000001</v>
      </c>
      <c r="M2008" s="825">
        <f t="shared" si="162"/>
        <v>209.34682867221542</v>
      </c>
      <c r="N2008" s="833">
        <v>60</v>
      </c>
      <c r="O2008" s="834">
        <f t="shared" si="163"/>
        <v>211.86666666666667</v>
      </c>
      <c r="P2008" s="835">
        <f t="shared" ca="1" si="165"/>
        <v>6</v>
      </c>
      <c r="Q2008" s="825">
        <f t="shared" ca="1" si="164"/>
        <v>11440.8</v>
      </c>
      <c r="R2008" s="825">
        <f t="shared" ca="1" si="166"/>
        <v>11440.8</v>
      </c>
      <c r="S2008" s="836" t="s">
        <v>6640</v>
      </c>
    </row>
    <row r="2009" spans="2:19" ht="45" customHeight="1" x14ac:dyDescent="0.25">
      <c r="B2009" s="864">
        <v>45667</v>
      </c>
      <c r="C2009" s="828">
        <v>45817</v>
      </c>
      <c r="D2009" s="823"/>
      <c r="E2009" s="848" t="s">
        <v>6988</v>
      </c>
      <c r="F2009" s="734" t="s">
        <v>6600</v>
      </c>
      <c r="G2009" s="761" t="s">
        <v>6592</v>
      </c>
      <c r="H2009" s="824" t="s">
        <v>28</v>
      </c>
      <c r="I2009" s="829" t="s">
        <v>6019</v>
      </c>
      <c r="J2009" s="830" t="s">
        <v>6225</v>
      </c>
      <c r="K2009" s="825">
        <v>12712</v>
      </c>
      <c r="L2009" s="826">
        <v>60.722200000000001</v>
      </c>
      <c r="M2009" s="825">
        <f t="shared" si="162"/>
        <v>209.34682867221542</v>
      </c>
      <c r="N2009" s="833">
        <v>60</v>
      </c>
      <c r="O2009" s="834">
        <f t="shared" si="163"/>
        <v>211.86666666666667</v>
      </c>
      <c r="P2009" s="835">
        <f t="shared" ca="1" si="165"/>
        <v>6</v>
      </c>
      <c r="Q2009" s="825">
        <f t="shared" ca="1" si="164"/>
        <v>11440.8</v>
      </c>
      <c r="R2009" s="825">
        <f t="shared" ca="1" si="166"/>
        <v>11440.8</v>
      </c>
      <c r="S2009" s="836" t="s">
        <v>6640</v>
      </c>
    </row>
    <row r="2010" spans="2:19" ht="45" customHeight="1" x14ac:dyDescent="0.25">
      <c r="B2010" s="864">
        <v>45667</v>
      </c>
      <c r="C2010" s="828">
        <v>45817</v>
      </c>
      <c r="D2010" s="823"/>
      <c r="E2010" s="848" t="s">
        <v>6988</v>
      </c>
      <c r="F2010" s="734" t="s">
        <v>6601</v>
      </c>
      <c r="G2010" s="761" t="s">
        <v>6592</v>
      </c>
      <c r="H2010" s="824" t="s">
        <v>28</v>
      </c>
      <c r="I2010" s="829" t="s">
        <v>6019</v>
      </c>
      <c r="J2010" s="830" t="s">
        <v>6225</v>
      </c>
      <c r="K2010" s="825">
        <v>12712</v>
      </c>
      <c r="L2010" s="826">
        <v>60.722200000000001</v>
      </c>
      <c r="M2010" s="825">
        <f t="shared" si="162"/>
        <v>209.34682867221542</v>
      </c>
      <c r="N2010" s="833">
        <v>60</v>
      </c>
      <c r="O2010" s="834">
        <f t="shared" si="163"/>
        <v>211.86666666666667</v>
      </c>
      <c r="P2010" s="835">
        <f t="shared" ca="1" si="165"/>
        <v>6</v>
      </c>
      <c r="Q2010" s="825">
        <f t="shared" ca="1" si="164"/>
        <v>11440.8</v>
      </c>
      <c r="R2010" s="825">
        <f t="shared" ca="1" si="166"/>
        <v>11440.8</v>
      </c>
      <c r="S2010" s="836" t="s">
        <v>6640</v>
      </c>
    </row>
    <row r="2011" spans="2:19" ht="45" customHeight="1" x14ac:dyDescent="0.25">
      <c r="B2011" s="864">
        <v>45667</v>
      </c>
      <c r="C2011" s="828">
        <v>45817</v>
      </c>
      <c r="D2011" s="823"/>
      <c r="E2011" s="848" t="s">
        <v>6988</v>
      </c>
      <c r="F2011" s="734" t="s">
        <v>6602</v>
      </c>
      <c r="G2011" s="761" t="s">
        <v>6592</v>
      </c>
      <c r="H2011" s="824" t="s">
        <v>28</v>
      </c>
      <c r="I2011" s="829" t="s">
        <v>6019</v>
      </c>
      <c r="J2011" s="830" t="s">
        <v>6225</v>
      </c>
      <c r="K2011" s="825">
        <v>12712</v>
      </c>
      <c r="L2011" s="826">
        <v>60.722200000000001</v>
      </c>
      <c r="M2011" s="825">
        <f t="shared" si="162"/>
        <v>209.34682867221542</v>
      </c>
      <c r="N2011" s="833">
        <v>60</v>
      </c>
      <c r="O2011" s="834">
        <f t="shared" si="163"/>
        <v>211.86666666666667</v>
      </c>
      <c r="P2011" s="835">
        <f t="shared" ca="1" si="165"/>
        <v>6</v>
      </c>
      <c r="Q2011" s="825">
        <f t="shared" ca="1" si="164"/>
        <v>11440.8</v>
      </c>
      <c r="R2011" s="825">
        <f t="shared" ca="1" si="166"/>
        <v>11440.8</v>
      </c>
      <c r="S2011" s="836" t="s">
        <v>6640</v>
      </c>
    </row>
    <row r="2012" spans="2:19" ht="45" customHeight="1" x14ac:dyDescent="0.25">
      <c r="B2012" s="864">
        <v>45667</v>
      </c>
      <c r="C2012" s="828">
        <v>45817</v>
      </c>
      <c r="D2012" s="823"/>
      <c r="E2012" s="848" t="s">
        <v>6988</v>
      </c>
      <c r="F2012" s="734" t="s">
        <v>6603</v>
      </c>
      <c r="G2012" s="761" t="s">
        <v>6592</v>
      </c>
      <c r="H2012" s="824" t="s">
        <v>28</v>
      </c>
      <c r="I2012" s="829" t="s">
        <v>6019</v>
      </c>
      <c r="J2012" s="830" t="s">
        <v>6225</v>
      </c>
      <c r="K2012" s="825">
        <v>12712</v>
      </c>
      <c r="L2012" s="826">
        <v>60.722200000000001</v>
      </c>
      <c r="M2012" s="825">
        <f t="shared" si="162"/>
        <v>209.34682867221542</v>
      </c>
      <c r="N2012" s="833">
        <v>60</v>
      </c>
      <c r="O2012" s="834">
        <f t="shared" si="163"/>
        <v>211.86666666666667</v>
      </c>
      <c r="P2012" s="835">
        <f t="shared" ca="1" si="165"/>
        <v>6</v>
      </c>
      <c r="Q2012" s="825">
        <f t="shared" ca="1" si="164"/>
        <v>11440.8</v>
      </c>
      <c r="R2012" s="825">
        <f t="shared" ca="1" si="166"/>
        <v>11440.8</v>
      </c>
      <c r="S2012" s="836" t="s">
        <v>6640</v>
      </c>
    </row>
    <row r="2013" spans="2:19" ht="45" customHeight="1" x14ac:dyDescent="0.25">
      <c r="B2013" s="864">
        <v>45667</v>
      </c>
      <c r="C2013" s="828">
        <v>45817</v>
      </c>
      <c r="D2013" s="823"/>
      <c r="E2013" s="848" t="s">
        <v>6988</v>
      </c>
      <c r="F2013" s="734" t="s">
        <v>6604</v>
      </c>
      <c r="G2013" s="761" t="s">
        <v>6592</v>
      </c>
      <c r="H2013" s="824" t="s">
        <v>28</v>
      </c>
      <c r="I2013" s="829" t="s">
        <v>6019</v>
      </c>
      <c r="J2013" s="830" t="s">
        <v>6225</v>
      </c>
      <c r="K2013" s="825">
        <v>12712</v>
      </c>
      <c r="L2013" s="826">
        <v>60.722200000000001</v>
      </c>
      <c r="M2013" s="825">
        <f t="shared" si="162"/>
        <v>209.34682867221542</v>
      </c>
      <c r="N2013" s="833">
        <v>60</v>
      </c>
      <c r="O2013" s="834">
        <f t="shared" si="163"/>
        <v>211.86666666666667</v>
      </c>
      <c r="P2013" s="835">
        <f t="shared" ca="1" si="165"/>
        <v>6</v>
      </c>
      <c r="Q2013" s="825">
        <f t="shared" ca="1" si="164"/>
        <v>11440.8</v>
      </c>
      <c r="R2013" s="825">
        <f t="shared" ca="1" si="166"/>
        <v>11440.8</v>
      </c>
      <c r="S2013" s="836" t="s">
        <v>6640</v>
      </c>
    </row>
    <row r="2014" spans="2:19" ht="45" customHeight="1" x14ac:dyDescent="0.25">
      <c r="B2014" s="864">
        <v>45667</v>
      </c>
      <c r="C2014" s="828">
        <v>45817</v>
      </c>
      <c r="D2014" s="823"/>
      <c r="E2014" s="848" t="s">
        <v>6988</v>
      </c>
      <c r="F2014" s="734" t="s">
        <v>6605</v>
      </c>
      <c r="G2014" s="761" t="s">
        <v>6592</v>
      </c>
      <c r="H2014" s="824" t="s">
        <v>28</v>
      </c>
      <c r="I2014" s="829" t="s">
        <v>6019</v>
      </c>
      <c r="J2014" s="830" t="s">
        <v>6225</v>
      </c>
      <c r="K2014" s="825">
        <v>12712</v>
      </c>
      <c r="L2014" s="826">
        <v>60.722200000000001</v>
      </c>
      <c r="M2014" s="825">
        <f t="shared" si="162"/>
        <v>209.34682867221542</v>
      </c>
      <c r="N2014" s="833">
        <v>60</v>
      </c>
      <c r="O2014" s="834">
        <f t="shared" si="163"/>
        <v>211.86666666666667</v>
      </c>
      <c r="P2014" s="835">
        <f t="shared" ca="1" si="165"/>
        <v>6</v>
      </c>
      <c r="Q2014" s="825">
        <f t="shared" ca="1" si="164"/>
        <v>11440.8</v>
      </c>
      <c r="R2014" s="825">
        <f t="shared" ca="1" si="166"/>
        <v>11440.8</v>
      </c>
      <c r="S2014" s="836" t="s">
        <v>6640</v>
      </c>
    </row>
    <row r="2015" spans="2:19" ht="45" customHeight="1" x14ac:dyDescent="0.25">
      <c r="B2015" s="864">
        <v>45667</v>
      </c>
      <c r="C2015" s="828">
        <v>45817</v>
      </c>
      <c r="D2015" s="823"/>
      <c r="E2015" s="848" t="s">
        <v>6988</v>
      </c>
      <c r="F2015" s="734" t="s">
        <v>6606</v>
      </c>
      <c r="G2015" s="761" t="s">
        <v>6592</v>
      </c>
      <c r="H2015" s="824" t="s">
        <v>28</v>
      </c>
      <c r="I2015" s="829" t="s">
        <v>6019</v>
      </c>
      <c r="J2015" s="830" t="s">
        <v>6225</v>
      </c>
      <c r="K2015" s="825">
        <v>12712</v>
      </c>
      <c r="L2015" s="826">
        <v>60.722200000000001</v>
      </c>
      <c r="M2015" s="825">
        <f t="shared" ref="M2015:M2078" si="167">+K2015/L2015</f>
        <v>209.34682867221542</v>
      </c>
      <c r="N2015" s="833">
        <v>60</v>
      </c>
      <c r="O2015" s="834">
        <f t="shared" si="163"/>
        <v>211.86666666666667</v>
      </c>
      <c r="P2015" s="835">
        <f t="shared" ca="1" si="165"/>
        <v>6</v>
      </c>
      <c r="Q2015" s="825">
        <f t="shared" ca="1" si="164"/>
        <v>11440.8</v>
      </c>
      <c r="R2015" s="825">
        <f t="shared" ca="1" si="166"/>
        <v>11440.8</v>
      </c>
      <c r="S2015" s="836" t="s">
        <v>6640</v>
      </c>
    </row>
    <row r="2016" spans="2:19" ht="45" customHeight="1" x14ac:dyDescent="0.25">
      <c r="B2016" s="864">
        <v>45667</v>
      </c>
      <c r="C2016" s="828">
        <v>45817</v>
      </c>
      <c r="D2016" s="823"/>
      <c r="E2016" s="848" t="s">
        <v>6988</v>
      </c>
      <c r="F2016" s="734" t="s">
        <v>6607</v>
      </c>
      <c r="G2016" s="761" t="s">
        <v>6592</v>
      </c>
      <c r="H2016" s="824" t="s">
        <v>28</v>
      </c>
      <c r="I2016" s="829" t="s">
        <v>6019</v>
      </c>
      <c r="J2016" s="830" t="s">
        <v>6225</v>
      </c>
      <c r="K2016" s="825">
        <v>12712</v>
      </c>
      <c r="L2016" s="826">
        <v>60.722200000000001</v>
      </c>
      <c r="M2016" s="825">
        <f t="shared" si="167"/>
        <v>209.34682867221542</v>
      </c>
      <c r="N2016" s="833">
        <v>60</v>
      </c>
      <c r="O2016" s="834">
        <f t="shared" si="163"/>
        <v>211.86666666666667</v>
      </c>
      <c r="P2016" s="835">
        <f t="shared" ca="1" si="165"/>
        <v>6</v>
      </c>
      <c r="Q2016" s="825">
        <f t="shared" ca="1" si="164"/>
        <v>11440.8</v>
      </c>
      <c r="R2016" s="825">
        <f t="shared" ca="1" si="166"/>
        <v>11440.8</v>
      </c>
      <c r="S2016" s="836" t="s">
        <v>6640</v>
      </c>
    </row>
    <row r="2017" spans="2:19" ht="45" customHeight="1" x14ac:dyDescent="0.25">
      <c r="B2017" s="864">
        <v>45667</v>
      </c>
      <c r="C2017" s="828">
        <v>45817</v>
      </c>
      <c r="D2017" s="823"/>
      <c r="E2017" s="848" t="s">
        <v>6988</v>
      </c>
      <c r="F2017" s="734" t="s">
        <v>6608</v>
      </c>
      <c r="G2017" s="761" t="s">
        <v>6592</v>
      </c>
      <c r="H2017" s="824" t="s">
        <v>28</v>
      </c>
      <c r="I2017" s="829" t="s">
        <v>6019</v>
      </c>
      <c r="J2017" s="830" t="s">
        <v>6225</v>
      </c>
      <c r="K2017" s="825">
        <v>12712</v>
      </c>
      <c r="L2017" s="826">
        <v>60.722200000000001</v>
      </c>
      <c r="M2017" s="825">
        <f t="shared" si="167"/>
        <v>209.34682867221542</v>
      </c>
      <c r="N2017" s="833">
        <v>60</v>
      </c>
      <c r="O2017" s="834">
        <f t="shared" si="163"/>
        <v>211.86666666666667</v>
      </c>
      <c r="P2017" s="835">
        <f t="shared" ca="1" si="165"/>
        <v>6</v>
      </c>
      <c r="Q2017" s="825">
        <f t="shared" ca="1" si="164"/>
        <v>11440.8</v>
      </c>
      <c r="R2017" s="825">
        <f t="shared" ca="1" si="166"/>
        <v>11440.8</v>
      </c>
      <c r="S2017" s="836" t="s">
        <v>6640</v>
      </c>
    </row>
    <row r="2018" spans="2:19" ht="45" customHeight="1" x14ac:dyDescent="0.25">
      <c r="B2018" s="864">
        <v>45667</v>
      </c>
      <c r="C2018" s="828">
        <v>45817</v>
      </c>
      <c r="D2018" s="823"/>
      <c r="E2018" s="848" t="s">
        <v>6988</v>
      </c>
      <c r="F2018" s="734" t="s">
        <v>6609</v>
      </c>
      <c r="G2018" s="761" t="s">
        <v>6592</v>
      </c>
      <c r="H2018" s="824" t="s">
        <v>28</v>
      </c>
      <c r="I2018" s="829" t="s">
        <v>6019</v>
      </c>
      <c r="J2018" s="830" t="s">
        <v>6225</v>
      </c>
      <c r="K2018" s="825">
        <v>12712</v>
      </c>
      <c r="L2018" s="826">
        <v>60.722200000000001</v>
      </c>
      <c r="M2018" s="825">
        <f t="shared" si="167"/>
        <v>209.34682867221542</v>
      </c>
      <c r="N2018" s="833">
        <v>60</v>
      </c>
      <c r="O2018" s="834">
        <f t="shared" si="163"/>
        <v>211.86666666666667</v>
      </c>
      <c r="P2018" s="835">
        <f t="shared" ca="1" si="165"/>
        <v>6</v>
      </c>
      <c r="Q2018" s="825">
        <f t="shared" ca="1" si="164"/>
        <v>11440.8</v>
      </c>
      <c r="R2018" s="825">
        <f t="shared" ca="1" si="166"/>
        <v>11440.8</v>
      </c>
      <c r="S2018" s="836" t="s">
        <v>6640</v>
      </c>
    </row>
    <row r="2019" spans="2:19" ht="45" customHeight="1" x14ac:dyDescent="0.25">
      <c r="B2019" s="864">
        <v>45667</v>
      </c>
      <c r="C2019" s="828">
        <v>45817</v>
      </c>
      <c r="D2019" s="823"/>
      <c r="E2019" s="848" t="s">
        <v>6988</v>
      </c>
      <c r="F2019" s="734" t="s">
        <v>6610</v>
      </c>
      <c r="G2019" s="761" t="s">
        <v>6592</v>
      </c>
      <c r="H2019" s="824" t="s">
        <v>28</v>
      </c>
      <c r="I2019" s="829" t="s">
        <v>6019</v>
      </c>
      <c r="J2019" s="830" t="s">
        <v>6225</v>
      </c>
      <c r="K2019" s="825">
        <v>12712</v>
      </c>
      <c r="L2019" s="826">
        <v>60.722200000000001</v>
      </c>
      <c r="M2019" s="825">
        <f t="shared" si="167"/>
        <v>209.34682867221542</v>
      </c>
      <c r="N2019" s="833">
        <v>60</v>
      </c>
      <c r="O2019" s="834">
        <f t="shared" si="163"/>
        <v>211.86666666666667</v>
      </c>
      <c r="P2019" s="835">
        <f t="shared" ca="1" si="165"/>
        <v>6</v>
      </c>
      <c r="Q2019" s="825">
        <f t="shared" ca="1" si="164"/>
        <v>11440.8</v>
      </c>
      <c r="R2019" s="825">
        <f t="shared" ca="1" si="166"/>
        <v>11440.8</v>
      </c>
      <c r="S2019" s="836" t="s">
        <v>6640</v>
      </c>
    </row>
    <row r="2020" spans="2:19" ht="45" customHeight="1" x14ac:dyDescent="0.25">
      <c r="B2020" s="864">
        <v>45667</v>
      </c>
      <c r="C2020" s="828">
        <v>45817</v>
      </c>
      <c r="D2020" s="823"/>
      <c r="E2020" s="848" t="s">
        <v>6988</v>
      </c>
      <c r="F2020" s="734" t="s">
        <v>6611</v>
      </c>
      <c r="G2020" s="761" t="s">
        <v>6592</v>
      </c>
      <c r="H2020" s="824" t="s">
        <v>28</v>
      </c>
      <c r="I2020" s="829" t="s">
        <v>6019</v>
      </c>
      <c r="J2020" s="830" t="s">
        <v>6225</v>
      </c>
      <c r="K2020" s="825">
        <v>12712</v>
      </c>
      <c r="L2020" s="826">
        <v>60.722200000000001</v>
      </c>
      <c r="M2020" s="825">
        <f t="shared" si="167"/>
        <v>209.34682867221542</v>
      </c>
      <c r="N2020" s="833">
        <v>60</v>
      </c>
      <c r="O2020" s="834">
        <f t="shared" si="163"/>
        <v>211.86666666666667</v>
      </c>
      <c r="P2020" s="835">
        <f t="shared" ca="1" si="165"/>
        <v>6</v>
      </c>
      <c r="Q2020" s="825">
        <f t="shared" ca="1" si="164"/>
        <v>11440.8</v>
      </c>
      <c r="R2020" s="825">
        <f t="shared" ca="1" si="166"/>
        <v>11440.8</v>
      </c>
      <c r="S2020" s="836" t="s">
        <v>6640</v>
      </c>
    </row>
    <row r="2021" spans="2:19" ht="45" customHeight="1" x14ac:dyDescent="0.25">
      <c r="B2021" s="864">
        <v>45667</v>
      </c>
      <c r="C2021" s="828">
        <v>45817</v>
      </c>
      <c r="D2021" s="823"/>
      <c r="E2021" s="848" t="s">
        <v>6988</v>
      </c>
      <c r="F2021" s="734" t="s">
        <v>6612</v>
      </c>
      <c r="G2021" s="761" t="s">
        <v>6592</v>
      </c>
      <c r="H2021" s="824" t="s">
        <v>28</v>
      </c>
      <c r="I2021" s="829" t="s">
        <v>6019</v>
      </c>
      <c r="J2021" s="830" t="s">
        <v>6225</v>
      </c>
      <c r="K2021" s="825">
        <v>12712</v>
      </c>
      <c r="L2021" s="826">
        <v>60.722200000000001</v>
      </c>
      <c r="M2021" s="825">
        <f t="shared" si="167"/>
        <v>209.34682867221542</v>
      </c>
      <c r="N2021" s="833">
        <v>60</v>
      </c>
      <c r="O2021" s="834">
        <f t="shared" si="163"/>
        <v>211.86666666666667</v>
      </c>
      <c r="P2021" s="835">
        <f t="shared" ca="1" si="165"/>
        <v>6</v>
      </c>
      <c r="Q2021" s="825">
        <f t="shared" ca="1" si="164"/>
        <v>11440.8</v>
      </c>
      <c r="R2021" s="825">
        <f t="shared" ca="1" si="166"/>
        <v>11440.8</v>
      </c>
      <c r="S2021" s="836" t="s">
        <v>6640</v>
      </c>
    </row>
    <row r="2022" spans="2:19" ht="45" customHeight="1" x14ac:dyDescent="0.25">
      <c r="B2022" s="864">
        <v>45667</v>
      </c>
      <c r="C2022" s="828">
        <v>45817</v>
      </c>
      <c r="D2022" s="823"/>
      <c r="E2022" s="848" t="s">
        <v>6988</v>
      </c>
      <c r="F2022" s="734" t="s">
        <v>6613</v>
      </c>
      <c r="G2022" s="761" t="s">
        <v>6592</v>
      </c>
      <c r="H2022" s="824" t="s">
        <v>28</v>
      </c>
      <c r="I2022" s="829" t="s">
        <v>6019</v>
      </c>
      <c r="J2022" s="830" t="s">
        <v>6225</v>
      </c>
      <c r="K2022" s="825">
        <v>12712</v>
      </c>
      <c r="L2022" s="826">
        <v>60.722200000000001</v>
      </c>
      <c r="M2022" s="825">
        <f t="shared" si="167"/>
        <v>209.34682867221542</v>
      </c>
      <c r="N2022" s="833">
        <v>60</v>
      </c>
      <c r="O2022" s="834">
        <f t="shared" si="163"/>
        <v>211.86666666666667</v>
      </c>
      <c r="P2022" s="835">
        <f t="shared" ca="1" si="165"/>
        <v>6</v>
      </c>
      <c r="Q2022" s="825">
        <f t="shared" ca="1" si="164"/>
        <v>11440.8</v>
      </c>
      <c r="R2022" s="825">
        <f t="shared" ca="1" si="166"/>
        <v>11440.8</v>
      </c>
      <c r="S2022" s="836" t="s">
        <v>6640</v>
      </c>
    </row>
    <row r="2023" spans="2:19" ht="45" customHeight="1" x14ac:dyDescent="0.25">
      <c r="B2023" s="864">
        <v>45667</v>
      </c>
      <c r="C2023" s="828">
        <v>45817</v>
      </c>
      <c r="D2023" s="823"/>
      <c r="E2023" s="848" t="s">
        <v>6988</v>
      </c>
      <c r="F2023" s="734" t="s">
        <v>6614</v>
      </c>
      <c r="G2023" s="761" t="s">
        <v>6592</v>
      </c>
      <c r="H2023" s="824" t="s">
        <v>28</v>
      </c>
      <c r="I2023" s="829" t="s">
        <v>6019</v>
      </c>
      <c r="J2023" s="830" t="s">
        <v>6225</v>
      </c>
      <c r="K2023" s="825">
        <v>12712</v>
      </c>
      <c r="L2023" s="826">
        <v>60.722200000000001</v>
      </c>
      <c r="M2023" s="825">
        <f t="shared" si="167"/>
        <v>209.34682867221542</v>
      </c>
      <c r="N2023" s="833">
        <v>60</v>
      </c>
      <c r="O2023" s="834">
        <f t="shared" si="163"/>
        <v>211.86666666666667</v>
      </c>
      <c r="P2023" s="835">
        <f t="shared" ca="1" si="165"/>
        <v>6</v>
      </c>
      <c r="Q2023" s="825">
        <f t="shared" ca="1" si="164"/>
        <v>11440.8</v>
      </c>
      <c r="R2023" s="825">
        <f t="shared" ca="1" si="166"/>
        <v>11440.8</v>
      </c>
      <c r="S2023" s="836" t="s">
        <v>6640</v>
      </c>
    </row>
    <row r="2024" spans="2:19" ht="45" customHeight="1" x14ac:dyDescent="0.25">
      <c r="B2024" s="864">
        <v>45667</v>
      </c>
      <c r="C2024" s="828">
        <v>45817</v>
      </c>
      <c r="D2024" s="823"/>
      <c r="E2024" s="848" t="s">
        <v>6988</v>
      </c>
      <c r="F2024" s="734" t="s">
        <v>6615</v>
      </c>
      <c r="G2024" s="761" t="s">
        <v>6592</v>
      </c>
      <c r="H2024" s="824" t="s">
        <v>28</v>
      </c>
      <c r="I2024" s="829" t="s">
        <v>6019</v>
      </c>
      <c r="J2024" s="830" t="s">
        <v>6225</v>
      </c>
      <c r="K2024" s="825">
        <v>12712</v>
      </c>
      <c r="L2024" s="826">
        <v>60.722200000000001</v>
      </c>
      <c r="M2024" s="825">
        <f t="shared" si="167"/>
        <v>209.34682867221542</v>
      </c>
      <c r="N2024" s="833">
        <v>60</v>
      </c>
      <c r="O2024" s="834">
        <f t="shared" si="163"/>
        <v>211.86666666666667</v>
      </c>
      <c r="P2024" s="835">
        <f t="shared" ca="1" si="165"/>
        <v>6</v>
      </c>
      <c r="Q2024" s="825">
        <f t="shared" ca="1" si="164"/>
        <v>11440.8</v>
      </c>
      <c r="R2024" s="825">
        <f t="shared" ca="1" si="166"/>
        <v>11440.8</v>
      </c>
      <c r="S2024" s="836" t="s">
        <v>6640</v>
      </c>
    </row>
    <row r="2025" spans="2:19" ht="45" customHeight="1" x14ac:dyDescent="0.25">
      <c r="B2025" s="864">
        <v>45667</v>
      </c>
      <c r="C2025" s="828">
        <v>45817</v>
      </c>
      <c r="D2025" s="823"/>
      <c r="E2025" s="848" t="s">
        <v>6988</v>
      </c>
      <c r="F2025" s="734" t="s">
        <v>6616</v>
      </c>
      <c r="G2025" s="761" t="s">
        <v>6592</v>
      </c>
      <c r="H2025" s="824" t="s">
        <v>28</v>
      </c>
      <c r="I2025" s="829" t="s">
        <v>6019</v>
      </c>
      <c r="J2025" s="830" t="s">
        <v>6225</v>
      </c>
      <c r="K2025" s="825">
        <v>12712</v>
      </c>
      <c r="L2025" s="826">
        <v>60.722200000000001</v>
      </c>
      <c r="M2025" s="825">
        <f t="shared" si="167"/>
        <v>209.34682867221542</v>
      </c>
      <c r="N2025" s="833">
        <v>60</v>
      </c>
      <c r="O2025" s="834">
        <f t="shared" si="163"/>
        <v>211.86666666666667</v>
      </c>
      <c r="P2025" s="835">
        <f t="shared" ca="1" si="165"/>
        <v>6</v>
      </c>
      <c r="Q2025" s="825">
        <f t="shared" ca="1" si="164"/>
        <v>11440.8</v>
      </c>
      <c r="R2025" s="825">
        <f t="shared" ca="1" si="166"/>
        <v>11440.8</v>
      </c>
      <c r="S2025" s="836" t="s">
        <v>6640</v>
      </c>
    </row>
    <row r="2026" spans="2:19" ht="45" customHeight="1" x14ac:dyDescent="0.25">
      <c r="B2026" s="864">
        <v>45667</v>
      </c>
      <c r="C2026" s="828">
        <v>45817</v>
      </c>
      <c r="D2026" s="823"/>
      <c r="E2026" s="848" t="s">
        <v>6988</v>
      </c>
      <c r="F2026" s="734" t="s">
        <v>6617</v>
      </c>
      <c r="G2026" s="761" t="s">
        <v>6592</v>
      </c>
      <c r="H2026" s="824" t="s">
        <v>28</v>
      </c>
      <c r="I2026" s="829" t="s">
        <v>6019</v>
      </c>
      <c r="J2026" s="830" t="s">
        <v>6225</v>
      </c>
      <c r="K2026" s="825">
        <v>12712</v>
      </c>
      <c r="L2026" s="826">
        <v>60.722200000000001</v>
      </c>
      <c r="M2026" s="825">
        <f t="shared" si="167"/>
        <v>209.34682867221542</v>
      </c>
      <c r="N2026" s="833">
        <v>60</v>
      </c>
      <c r="O2026" s="834">
        <f t="shared" si="163"/>
        <v>211.86666666666667</v>
      </c>
      <c r="P2026" s="835">
        <f t="shared" ca="1" si="165"/>
        <v>6</v>
      </c>
      <c r="Q2026" s="825">
        <f t="shared" ca="1" si="164"/>
        <v>11440.8</v>
      </c>
      <c r="R2026" s="825">
        <f t="shared" ca="1" si="166"/>
        <v>11440.8</v>
      </c>
      <c r="S2026" s="836" t="s">
        <v>6640</v>
      </c>
    </row>
    <row r="2027" spans="2:19" ht="45" customHeight="1" x14ac:dyDescent="0.25">
      <c r="B2027" s="864">
        <v>45667</v>
      </c>
      <c r="C2027" s="828">
        <v>45817</v>
      </c>
      <c r="D2027" s="823"/>
      <c r="E2027" s="848" t="s">
        <v>6988</v>
      </c>
      <c r="F2027" s="734" t="s">
        <v>6618</v>
      </c>
      <c r="G2027" s="761" t="s">
        <v>6592</v>
      </c>
      <c r="H2027" s="824" t="s">
        <v>28</v>
      </c>
      <c r="I2027" s="829" t="s">
        <v>6019</v>
      </c>
      <c r="J2027" s="830" t="s">
        <v>6225</v>
      </c>
      <c r="K2027" s="825">
        <v>12712</v>
      </c>
      <c r="L2027" s="826">
        <v>60.722200000000001</v>
      </c>
      <c r="M2027" s="825">
        <f t="shared" si="167"/>
        <v>209.34682867221542</v>
      </c>
      <c r="N2027" s="833">
        <v>60</v>
      </c>
      <c r="O2027" s="834">
        <f t="shared" si="163"/>
        <v>211.86666666666667</v>
      </c>
      <c r="P2027" s="835">
        <f t="shared" ca="1" si="165"/>
        <v>6</v>
      </c>
      <c r="Q2027" s="825">
        <f t="shared" ca="1" si="164"/>
        <v>11440.8</v>
      </c>
      <c r="R2027" s="825">
        <f t="shared" ca="1" si="166"/>
        <v>11440.8</v>
      </c>
      <c r="S2027" s="836" t="s">
        <v>6640</v>
      </c>
    </row>
    <row r="2028" spans="2:19" ht="45" customHeight="1" x14ac:dyDescent="0.25">
      <c r="B2028" s="864">
        <v>45667</v>
      </c>
      <c r="C2028" s="828">
        <v>45817</v>
      </c>
      <c r="D2028" s="823"/>
      <c r="E2028" s="848" t="s">
        <v>6988</v>
      </c>
      <c r="F2028" s="734" t="s">
        <v>6619</v>
      </c>
      <c r="G2028" s="761" t="s">
        <v>6592</v>
      </c>
      <c r="H2028" s="824" t="s">
        <v>28</v>
      </c>
      <c r="I2028" s="829" t="s">
        <v>6019</v>
      </c>
      <c r="J2028" s="830" t="s">
        <v>6225</v>
      </c>
      <c r="K2028" s="825">
        <v>12712</v>
      </c>
      <c r="L2028" s="826">
        <v>60.722200000000001</v>
      </c>
      <c r="M2028" s="825">
        <f t="shared" si="167"/>
        <v>209.34682867221542</v>
      </c>
      <c r="N2028" s="833">
        <v>60</v>
      </c>
      <c r="O2028" s="834">
        <f t="shared" si="163"/>
        <v>211.86666666666667</v>
      </c>
      <c r="P2028" s="835">
        <f t="shared" ca="1" si="165"/>
        <v>6</v>
      </c>
      <c r="Q2028" s="825">
        <f t="shared" ca="1" si="164"/>
        <v>11440.8</v>
      </c>
      <c r="R2028" s="825">
        <f t="shared" ca="1" si="166"/>
        <v>11440.8</v>
      </c>
      <c r="S2028" s="836" t="s">
        <v>6640</v>
      </c>
    </row>
    <row r="2029" spans="2:19" ht="45" customHeight="1" x14ac:dyDescent="0.25">
      <c r="B2029" s="864">
        <v>45667</v>
      </c>
      <c r="C2029" s="828">
        <v>45817</v>
      </c>
      <c r="D2029" s="823"/>
      <c r="E2029" s="848" t="s">
        <v>6988</v>
      </c>
      <c r="F2029" s="734" t="s">
        <v>6663</v>
      </c>
      <c r="G2029" s="761" t="s">
        <v>6623</v>
      </c>
      <c r="H2029" s="824" t="s">
        <v>28</v>
      </c>
      <c r="I2029" s="829" t="s">
        <v>6019</v>
      </c>
      <c r="J2029" s="830" t="s">
        <v>6225</v>
      </c>
      <c r="K2029" s="825">
        <v>14181.81</v>
      </c>
      <c r="L2029" s="826">
        <v>60.722200000000001</v>
      </c>
      <c r="M2029" s="825">
        <f t="shared" si="167"/>
        <v>233.55230871081744</v>
      </c>
      <c r="N2029" s="833">
        <v>60</v>
      </c>
      <c r="O2029" s="834">
        <f t="shared" si="163"/>
        <v>236.36349999999999</v>
      </c>
      <c r="P2029" s="835">
        <f t="shared" ca="1" si="165"/>
        <v>6</v>
      </c>
      <c r="Q2029" s="825">
        <f t="shared" ca="1" si="164"/>
        <v>12763.628999999999</v>
      </c>
      <c r="R2029" s="825">
        <f t="shared" ca="1" si="166"/>
        <v>12763.628999999999</v>
      </c>
      <c r="S2029" s="836" t="s">
        <v>6640</v>
      </c>
    </row>
    <row r="2030" spans="2:19" ht="45" customHeight="1" x14ac:dyDescent="0.25">
      <c r="B2030" s="864">
        <v>45667</v>
      </c>
      <c r="C2030" s="828">
        <v>45817</v>
      </c>
      <c r="D2030" s="823"/>
      <c r="E2030" s="848" t="s">
        <v>6988</v>
      </c>
      <c r="F2030" s="734" t="s">
        <v>6664</v>
      </c>
      <c r="G2030" s="761" t="s">
        <v>6623</v>
      </c>
      <c r="H2030" s="824" t="s">
        <v>28</v>
      </c>
      <c r="I2030" s="829" t="s">
        <v>6019</v>
      </c>
      <c r="J2030" s="830" t="s">
        <v>6225</v>
      </c>
      <c r="K2030" s="825">
        <v>14181.81</v>
      </c>
      <c r="L2030" s="826">
        <v>60.722200000000001</v>
      </c>
      <c r="M2030" s="825">
        <f t="shared" si="167"/>
        <v>233.55230871081744</v>
      </c>
      <c r="N2030" s="833">
        <v>60</v>
      </c>
      <c r="O2030" s="834">
        <f t="shared" si="163"/>
        <v>236.36349999999999</v>
      </c>
      <c r="P2030" s="835">
        <f t="shared" ca="1" si="165"/>
        <v>6</v>
      </c>
      <c r="Q2030" s="825">
        <f t="shared" ca="1" si="164"/>
        <v>12763.628999999999</v>
      </c>
      <c r="R2030" s="825">
        <f t="shared" ca="1" si="166"/>
        <v>12763.628999999999</v>
      </c>
      <c r="S2030" s="836" t="s">
        <v>6640</v>
      </c>
    </row>
    <row r="2031" spans="2:19" ht="45" customHeight="1" x14ac:dyDescent="0.25">
      <c r="B2031" s="864">
        <v>45667</v>
      </c>
      <c r="C2031" s="828">
        <v>45817</v>
      </c>
      <c r="D2031" s="823"/>
      <c r="E2031" s="848" t="s">
        <v>6988</v>
      </c>
      <c r="F2031" s="734" t="s">
        <v>6665</v>
      </c>
      <c r="G2031" s="761" t="s">
        <v>6623</v>
      </c>
      <c r="H2031" s="824" t="s">
        <v>28</v>
      </c>
      <c r="I2031" s="829" t="s">
        <v>6019</v>
      </c>
      <c r="J2031" s="830" t="s">
        <v>6225</v>
      </c>
      <c r="K2031" s="825">
        <v>14181.81</v>
      </c>
      <c r="L2031" s="826">
        <v>60.722200000000001</v>
      </c>
      <c r="M2031" s="825">
        <f t="shared" si="167"/>
        <v>233.55230871081744</v>
      </c>
      <c r="N2031" s="833">
        <v>60</v>
      </c>
      <c r="O2031" s="834">
        <f t="shared" si="163"/>
        <v>236.36349999999999</v>
      </c>
      <c r="P2031" s="835">
        <f t="shared" ca="1" si="165"/>
        <v>6</v>
      </c>
      <c r="Q2031" s="825">
        <f t="shared" ca="1" si="164"/>
        <v>12763.628999999999</v>
      </c>
      <c r="R2031" s="825">
        <f t="shared" ca="1" si="166"/>
        <v>12763.628999999999</v>
      </c>
      <c r="S2031" s="836" t="s">
        <v>6640</v>
      </c>
    </row>
    <row r="2032" spans="2:19" ht="45" customHeight="1" x14ac:dyDescent="0.25">
      <c r="B2032" s="864">
        <v>45667</v>
      </c>
      <c r="C2032" s="828">
        <v>45817</v>
      </c>
      <c r="D2032" s="823"/>
      <c r="E2032" s="848" t="s">
        <v>6988</v>
      </c>
      <c r="F2032" s="734" t="s">
        <v>6666</v>
      </c>
      <c r="G2032" s="761" t="s">
        <v>6623</v>
      </c>
      <c r="H2032" s="824" t="s">
        <v>28</v>
      </c>
      <c r="I2032" s="829" t="s">
        <v>6019</v>
      </c>
      <c r="J2032" s="830" t="s">
        <v>6225</v>
      </c>
      <c r="K2032" s="825">
        <v>14181.81</v>
      </c>
      <c r="L2032" s="826">
        <v>60.722200000000001</v>
      </c>
      <c r="M2032" s="825">
        <f t="shared" si="167"/>
        <v>233.55230871081744</v>
      </c>
      <c r="N2032" s="833">
        <v>60</v>
      </c>
      <c r="O2032" s="834">
        <f t="shared" si="163"/>
        <v>236.36349999999999</v>
      </c>
      <c r="P2032" s="835">
        <f t="shared" ca="1" si="165"/>
        <v>6</v>
      </c>
      <c r="Q2032" s="825">
        <f t="shared" ca="1" si="164"/>
        <v>12763.628999999999</v>
      </c>
      <c r="R2032" s="825">
        <f t="shared" ca="1" si="166"/>
        <v>12763.628999999999</v>
      </c>
      <c r="S2032" s="836" t="s">
        <v>6640</v>
      </c>
    </row>
    <row r="2033" spans="2:19" ht="45" customHeight="1" x14ac:dyDescent="0.25">
      <c r="B2033" s="864">
        <v>45667</v>
      </c>
      <c r="C2033" s="828">
        <v>45817</v>
      </c>
      <c r="D2033" s="823"/>
      <c r="E2033" s="848" t="s">
        <v>6988</v>
      </c>
      <c r="F2033" s="734" t="s">
        <v>6667</v>
      </c>
      <c r="G2033" s="761" t="s">
        <v>6623</v>
      </c>
      <c r="H2033" s="824" t="s">
        <v>28</v>
      </c>
      <c r="I2033" s="829" t="s">
        <v>6019</v>
      </c>
      <c r="J2033" s="830" t="s">
        <v>6225</v>
      </c>
      <c r="K2033" s="825">
        <v>14181.81</v>
      </c>
      <c r="L2033" s="826">
        <v>60.722200000000001</v>
      </c>
      <c r="M2033" s="825">
        <f t="shared" si="167"/>
        <v>233.55230871081744</v>
      </c>
      <c r="N2033" s="833">
        <v>60</v>
      </c>
      <c r="O2033" s="834">
        <f t="shared" si="163"/>
        <v>236.36349999999999</v>
      </c>
      <c r="P2033" s="835">
        <f t="shared" ca="1" si="165"/>
        <v>6</v>
      </c>
      <c r="Q2033" s="825">
        <f t="shared" ca="1" si="164"/>
        <v>12763.628999999999</v>
      </c>
      <c r="R2033" s="825">
        <f t="shared" ca="1" si="166"/>
        <v>12763.628999999999</v>
      </c>
      <c r="S2033" s="836" t="s">
        <v>6640</v>
      </c>
    </row>
    <row r="2034" spans="2:19" ht="45" customHeight="1" x14ac:dyDescent="0.25">
      <c r="B2034" s="864">
        <v>45667</v>
      </c>
      <c r="C2034" s="828">
        <v>45817</v>
      </c>
      <c r="D2034" s="823"/>
      <c r="E2034" s="848" t="s">
        <v>6988</v>
      </c>
      <c r="F2034" s="734" t="s">
        <v>6668</v>
      </c>
      <c r="G2034" s="761" t="s">
        <v>6623</v>
      </c>
      <c r="H2034" s="824" t="s">
        <v>28</v>
      </c>
      <c r="I2034" s="829" t="s">
        <v>6019</v>
      </c>
      <c r="J2034" s="830" t="s">
        <v>6225</v>
      </c>
      <c r="K2034" s="825">
        <v>14181.81</v>
      </c>
      <c r="L2034" s="826">
        <v>60.722200000000001</v>
      </c>
      <c r="M2034" s="825">
        <f t="shared" si="167"/>
        <v>233.55230871081744</v>
      </c>
      <c r="N2034" s="833">
        <v>60</v>
      </c>
      <c r="O2034" s="834">
        <f t="shared" si="163"/>
        <v>236.36349999999999</v>
      </c>
      <c r="P2034" s="835">
        <f t="shared" ca="1" si="165"/>
        <v>6</v>
      </c>
      <c r="Q2034" s="825">
        <f t="shared" ca="1" si="164"/>
        <v>12763.628999999999</v>
      </c>
      <c r="R2034" s="825">
        <f t="shared" ca="1" si="166"/>
        <v>12763.628999999999</v>
      </c>
      <c r="S2034" s="836" t="s">
        <v>6640</v>
      </c>
    </row>
    <row r="2035" spans="2:19" ht="45" customHeight="1" x14ac:dyDescent="0.25">
      <c r="B2035" s="864">
        <v>45667</v>
      </c>
      <c r="C2035" s="828">
        <v>45817</v>
      </c>
      <c r="D2035" s="823"/>
      <c r="E2035" s="848" t="s">
        <v>6988</v>
      </c>
      <c r="F2035" s="734" t="s">
        <v>6669</v>
      </c>
      <c r="G2035" s="761" t="s">
        <v>6623</v>
      </c>
      <c r="H2035" s="824" t="s">
        <v>28</v>
      </c>
      <c r="I2035" s="829" t="s">
        <v>6019</v>
      </c>
      <c r="J2035" s="830" t="s">
        <v>6225</v>
      </c>
      <c r="K2035" s="825">
        <v>14181.81</v>
      </c>
      <c r="L2035" s="826">
        <v>60.722200000000001</v>
      </c>
      <c r="M2035" s="825">
        <f t="shared" si="167"/>
        <v>233.55230871081744</v>
      </c>
      <c r="N2035" s="833">
        <v>60</v>
      </c>
      <c r="O2035" s="834">
        <f t="shared" si="163"/>
        <v>236.36349999999999</v>
      </c>
      <c r="P2035" s="835">
        <f t="shared" ca="1" si="165"/>
        <v>6</v>
      </c>
      <c r="Q2035" s="825">
        <f t="shared" ca="1" si="164"/>
        <v>12763.628999999999</v>
      </c>
      <c r="R2035" s="825">
        <f t="shared" ca="1" si="166"/>
        <v>12763.628999999999</v>
      </c>
      <c r="S2035" s="836" t="s">
        <v>6640</v>
      </c>
    </row>
    <row r="2036" spans="2:19" ht="45" customHeight="1" x14ac:dyDescent="0.25">
      <c r="B2036" s="864">
        <v>45667</v>
      </c>
      <c r="C2036" s="828">
        <v>45817</v>
      </c>
      <c r="D2036" s="823"/>
      <c r="E2036" s="848" t="s">
        <v>6988</v>
      </c>
      <c r="F2036" s="734" t="s">
        <v>6670</v>
      </c>
      <c r="G2036" s="761" t="s">
        <v>6623</v>
      </c>
      <c r="H2036" s="824" t="s">
        <v>28</v>
      </c>
      <c r="I2036" s="829" t="s">
        <v>6019</v>
      </c>
      <c r="J2036" s="830" t="s">
        <v>6225</v>
      </c>
      <c r="K2036" s="825">
        <v>14181.81</v>
      </c>
      <c r="L2036" s="826">
        <v>60.722200000000001</v>
      </c>
      <c r="M2036" s="825">
        <f t="shared" si="167"/>
        <v>233.55230871081744</v>
      </c>
      <c r="N2036" s="833">
        <v>60</v>
      </c>
      <c r="O2036" s="834">
        <f t="shared" si="163"/>
        <v>236.36349999999999</v>
      </c>
      <c r="P2036" s="835">
        <f t="shared" ca="1" si="165"/>
        <v>6</v>
      </c>
      <c r="Q2036" s="825">
        <f t="shared" ca="1" si="164"/>
        <v>12763.628999999999</v>
      </c>
      <c r="R2036" s="825">
        <f t="shared" ca="1" si="166"/>
        <v>12763.628999999999</v>
      </c>
      <c r="S2036" s="836" t="s">
        <v>6640</v>
      </c>
    </row>
    <row r="2037" spans="2:19" ht="45" customHeight="1" x14ac:dyDescent="0.25">
      <c r="B2037" s="864">
        <v>45667</v>
      </c>
      <c r="C2037" s="828">
        <v>45817</v>
      </c>
      <c r="D2037" s="823"/>
      <c r="E2037" s="848" t="s">
        <v>6988</v>
      </c>
      <c r="F2037" s="734" t="s">
        <v>6788</v>
      </c>
      <c r="G2037" s="761" t="s">
        <v>6635</v>
      </c>
      <c r="H2037" s="824" t="s">
        <v>28</v>
      </c>
      <c r="I2037" s="829" t="s">
        <v>6019</v>
      </c>
      <c r="J2037" s="830" t="s">
        <v>6225</v>
      </c>
      <c r="K2037" s="825">
        <v>59091</v>
      </c>
      <c r="L2037" s="826">
        <v>60.722200000000001</v>
      </c>
      <c r="M2037" s="825">
        <f t="shared" si="167"/>
        <v>973.13667818359681</v>
      </c>
      <c r="N2037" s="833">
        <v>60</v>
      </c>
      <c r="O2037" s="834">
        <f t="shared" si="163"/>
        <v>984.85</v>
      </c>
      <c r="P2037" s="835">
        <f t="shared" ca="1" si="165"/>
        <v>6</v>
      </c>
      <c r="Q2037" s="825">
        <f t="shared" ca="1" si="164"/>
        <v>53181.9</v>
      </c>
      <c r="R2037" s="825">
        <f t="shared" ca="1" si="166"/>
        <v>53181.9</v>
      </c>
      <c r="S2037" s="836" t="s">
        <v>6640</v>
      </c>
    </row>
    <row r="2038" spans="2:19" ht="45" customHeight="1" x14ac:dyDescent="0.25">
      <c r="B2038" s="864">
        <v>45667</v>
      </c>
      <c r="C2038" s="828">
        <v>45817</v>
      </c>
      <c r="D2038" s="823"/>
      <c r="E2038" s="848" t="s">
        <v>6988</v>
      </c>
      <c r="F2038" s="734" t="s">
        <v>6789</v>
      </c>
      <c r="G2038" s="761" t="s">
        <v>6635</v>
      </c>
      <c r="H2038" s="824" t="s">
        <v>28</v>
      </c>
      <c r="I2038" s="829" t="s">
        <v>6019</v>
      </c>
      <c r="J2038" s="830" t="s">
        <v>6225</v>
      </c>
      <c r="K2038" s="825">
        <v>59091</v>
      </c>
      <c r="L2038" s="826">
        <v>60.722200000000001</v>
      </c>
      <c r="M2038" s="825">
        <f t="shared" si="167"/>
        <v>973.13667818359681</v>
      </c>
      <c r="N2038" s="833">
        <v>60</v>
      </c>
      <c r="O2038" s="834">
        <f t="shared" si="163"/>
        <v>984.85</v>
      </c>
      <c r="P2038" s="835">
        <f t="shared" ca="1" si="165"/>
        <v>6</v>
      </c>
      <c r="Q2038" s="825">
        <f t="shared" ca="1" si="164"/>
        <v>53181.9</v>
      </c>
      <c r="R2038" s="825">
        <f t="shared" ca="1" si="166"/>
        <v>53181.9</v>
      </c>
      <c r="S2038" s="836" t="s">
        <v>6640</v>
      </c>
    </row>
    <row r="2039" spans="2:19" ht="45" customHeight="1" x14ac:dyDescent="0.25">
      <c r="B2039" s="864">
        <v>45667</v>
      </c>
      <c r="C2039" s="828">
        <v>45817</v>
      </c>
      <c r="D2039" s="823"/>
      <c r="E2039" s="848" t="s">
        <v>6988</v>
      </c>
      <c r="F2039" s="734" t="s">
        <v>6790</v>
      </c>
      <c r="G2039" s="761" t="s">
        <v>6635</v>
      </c>
      <c r="H2039" s="824" t="s">
        <v>28</v>
      </c>
      <c r="I2039" s="829" t="s">
        <v>6019</v>
      </c>
      <c r="J2039" s="830" t="s">
        <v>6225</v>
      </c>
      <c r="K2039" s="825">
        <v>59091</v>
      </c>
      <c r="L2039" s="826">
        <v>60.722200000000001</v>
      </c>
      <c r="M2039" s="825">
        <f t="shared" si="167"/>
        <v>973.13667818359681</v>
      </c>
      <c r="N2039" s="833">
        <v>60</v>
      </c>
      <c r="O2039" s="834">
        <f t="shared" si="163"/>
        <v>984.85</v>
      </c>
      <c r="P2039" s="835">
        <f t="shared" ca="1" si="165"/>
        <v>6</v>
      </c>
      <c r="Q2039" s="825">
        <f t="shared" ca="1" si="164"/>
        <v>53181.9</v>
      </c>
      <c r="R2039" s="825">
        <f t="shared" ca="1" si="166"/>
        <v>53181.9</v>
      </c>
      <c r="S2039" s="836" t="s">
        <v>6640</v>
      </c>
    </row>
    <row r="2040" spans="2:19" ht="45" customHeight="1" x14ac:dyDescent="0.25">
      <c r="B2040" s="864">
        <v>45667</v>
      </c>
      <c r="C2040" s="828">
        <v>45817</v>
      </c>
      <c r="D2040" s="823"/>
      <c r="E2040" s="848" t="s">
        <v>6988</v>
      </c>
      <c r="F2040" s="734" t="s">
        <v>6791</v>
      </c>
      <c r="G2040" s="761" t="s">
        <v>6635</v>
      </c>
      <c r="H2040" s="824" t="s">
        <v>28</v>
      </c>
      <c r="I2040" s="829" t="s">
        <v>6019</v>
      </c>
      <c r="J2040" s="830" t="s">
        <v>6225</v>
      </c>
      <c r="K2040" s="825">
        <v>59091</v>
      </c>
      <c r="L2040" s="826">
        <v>60.722200000000001</v>
      </c>
      <c r="M2040" s="825">
        <f t="shared" si="167"/>
        <v>973.13667818359681</v>
      </c>
      <c r="N2040" s="833">
        <v>60</v>
      </c>
      <c r="O2040" s="834">
        <f t="shared" si="163"/>
        <v>984.85</v>
      </c>
      <c r="P2040" s="835">
        <f t="shared" ca="1" si="165"/>
        <v>6</v>
      </c>
      <c r="Q2040" s="825">
        <f t="shared" ca="1" si="164"/>
        <v>53181.9</v>
      </c>
      <c r="R2040" s="825">
        <f t="shared" ca="1" si="166"/>
        <v>53181.9</v>
      </c>
      <c r="S2040" s="836" t="s">
        <v>6640</v>
      </c>
    </row>
    <row r="2041" spans="2:19" ht="45" customHeight="1" x14ac:dyDescent="0.25">
      <c r="B2041" s="864">
        <v>45667</v>
      </c>
      <c r="C2041" s="828">
        <v>45817</v>
      </c>
      <c r="D2041" s="823"/>
      <c r="E2041" s="848" t="s">
        <v>6988</v>
      </c>
      <c r="F2041" s="734" t="s">
        <v>6792</v>
      </c>
      <c r="G2041" s="761" t="s">
        <v>6635</v>
      </c>
      <c r="H2041" s="824" t="s">
        <v>28</v>
      </c>
      <c r="I2041" s="829" t="s">
        <v>6019</v>
      </c>
      <c r="J2041" s="830" t="s">
        <v>6225</v>
      </c>
      <c r="K2041" s="825">
        <v>59091</v>
      </c>
      <c r="L2041" s="826">
        <v>60.722200000000001</v>
      </c>
      <c r="M2041" s="825">
        <f t="shared" si="167"/>
        <v>973.13667818359681</v>
      </c>
      <c r="N2041" s="833">
        <v>60</v>
      </c>
      <c r="O2041" s="834">
        <f t="shared" si="163"/>
        <v>984.85</v>
      </c>
      <c r="P2041" s="835">
        <f t="shared" ca="1" si="165"/>
        <v>6</v>
      </c>
      <c r="Q2041" s="825">
        <f t="shared" ca="1" si="164"/>
        <v>53181.9</v>
      </c>
      <c r="R2041" s="825">
        <f t="shared" ca="1" si="166"/>
        <v>53181.9</v>
      </c>
      <c r="S2041" s="836" t="s">
        <v>6640</v>
      </c>
    </row>
    <row r="2042" spans="2:19" ht="45" customHeight="1" x14ac:dyDescent="0.25">
      <c r="B2042" s="864">
        <v>45667</v>
      </c>
      <c r="C2042" s="828">
        <v>45817</v>
      </c>
      <c r="D2042" s="823"/>
      <c r="E2042" s="848" t="s">
        <v>6988</v>
      </c>
      <c r="F2042" s="734" t="s">
        <v>6793</v>
      </c>
      <c r="G2042" s="761" t="s">
        <v>6635</v>
      </c>
      <c r="H2042" s="824" t="s">
        <v>28</v>
      </c>
      <c r="I2042" s="829" t="s">
        <v>6019</v>
      </c>
      <c r="J2042" s="830" t="s">
        <v>6225</v>
      </c>
      <c r="K2042" s="825">
        <v>59091</v>
      </c>
      <c r="L2042" s="826">
        <v>60.722200000000001</v>
      </c>
      <c r="M2042" s="825">
        <f t="shared" si="167"/>
        <v>973.13667818359681</v>
      </c>
      <c r="N2042" s="833">
        <v>60</v>
      </c>
      <c r="O2042" s="834">
        <f t="shared" si="163"/>
        <v>984.85</v>
      </c>
      <c r="P2042" s="835">
        <f t="shared" ca="1" si="165"/>
        <v>6</v>
      </c>
      <c r="Q2042" s="825">
        <f t="shared" ca="1" si="164"/>
        <v>53181.9</v>
      </c>
      <c r="R2042" s="825">
        <f t="shared" ca="1" si="166"/>
        <v>53181.9</v>
      </c>
      <c r="S2042" s="836" t="s">
        <v>6640</v>
      </c>
    </row>
    <row r="2043" spans="2:19" ht="45" customHeight="1" x14ac:dyDescent="0.25">
      <c r="B2043" s="864">
        <v>45667</v>
      </c>
      <c r="C2043" s="828">
        <v>45817</v>
      </c>
      <c r="D2043" s="823"/>
      <c r="E2043" s="848" t="s">
        <v>6988</v>
      </c>
      <c r="F2043" s="734" t="s">
        <v>6794</v>
      </c>
      <c r="G2043" s="761" t="s">
        <v>6635</v>
      </c>
      <c r="H2043" s="824" t="s">
        <v>28</v>
      </c>
      <c r="I2043" s="829" t="s">
        <v>6019</v>
      </c>
      <c r="J2043" s="830" t="s">
        <v>6225</v>
      </c>
      <c r="K2043" s="825">
        <v>59091</v>
      </c>
      <c r="L2043" s="826">
        <v>60.722200000000001</v>
      </c>
      <c r="M2043" s="825">
        <f t="shared" si="167"/>
        <v>973.13667818359681</v>
      </c>
      <c r="N2043" s="833">
        <v>60</v>
      </c>
      <c r="O2043" s="834">
        <f t="shared" si="163"/>
        <v>984.85</v>
      </c>
      <c r="P2043" s="835">
        <f t="shared" ca="1" si="165"/>
        <v>6</v>
      </c>
      <c r="Q2043" s="825">
        <f t="shared" ca="1" si="164"/>
        <v>53181.9</v>
      </c>
      <c r="R2043" s="825">
        <f t="shared" ca="1" si="166"/>
        <v>53181.9</v>
      </c>
      <c r="S2043" s="836" t="s">
        <v>6640</v>
      </c>
    </row>
    <row r="2044" spans="2:19" ht="45" customHeight="1" x14ac:dyDescent="0.25">
      <c r="B2044" s="864">
        <v>45667</v>
      </c>
      <c r="C2044" s="828">
        <v>45817</v>
      </c>
      <c r="D2044" s="823"/>
      <c r="E2044" s="848" t="s">
        <v>6988</v>
      </c>
      <c r="F2044" s="734" t="s">
        <v>6795</v>
      </c>
      <c r="G2044" s="761" t="s">
        <v>6635</v>
      </c>
      <c r="H2044" s="824" t="s">
        <v>28</v>
      </c>
      <c r="I2044" s="829" t="s">
        <v>6019</v>
      </c>
      <c r="J2044" s="830" t="s">
        <v>6225</v>
      </c>
      <c r="K2044" s="825">
        <v>59091</v>
      </c>
      <c r="L2044" s="826">
        <v>60.722200000000001</v>
      </c>
      <c r="M2044" s="825">
        <f t="shared" si="167"/>
        <v>973.13667818359681</v>
      </c>
      <c r="N2044" s="833">
        <v>60</v>
      </c>
      <c r="O2044" s="834">
        <f t="shared" si="163"/>
        <v>984.85</v>
      </c>
      <c r="P2044" s="835">
        <f t="shared" ca="1" si="165"/>
        <v>6</v>
      </c>
      <c r="Q2044" s="825">
        <f t="shared" ca="1" si="164"/>
        <v>53181.9</v>
      </c>
      <c r="R2044" s="825">
        <f t="shared" ca="1" si="166"/>
        <v>53181.9</v>
      </c>
      <c r="S2044" s="836" t="s">
        <v>6640</v>
      </c>
    </row>
    <row r="2045" spans="2:19" ht="45" customHeight="1" x14ac:dyDescent="0.25">
      <c r="B2045" s="864">
        <v>45667</v>
      </c>
      <c r="C2045" s="828">
        <v>45817</v>
      </c>
      <c r="D2045" s="823"/>
      <c r="E2045" s="848" t="s">
        <v>6988</v>
      </c>
      <c r="F2045" s="734" t="s">
        <v>6796</v>
      </c>
      <c r="G2045" s="761" t="s">
        <v>6635</v>
      </c>
      <c r="H2045" s="824" t="s">
        <v>28</v>
      </c>
      <c r="I2045" s="829" t="s">
        <v>6019</v>
      </c>
      <c r="J2045" s="830" t="s">
        <v>6225</v>
      </c>
      <c r="K2045" s="825">
        <v>59091</v>
      </c>
      <c r="L2045" s="826">
        <v>60.722200000000001</v>
      </c>
      <c r="M2045" s="825">
        <f t="shared" si="167"/>
        <v>973.13667818359681</v>
      </c>
      <c r="N2045" s="833">
        <v>60</v>
      </c>
      <c r="O2045" s="834">
        <f t="shared" si="163"/>
        <v>984.85</v>
      </c>
      <c r="P2045" s="835">
        <f t="shared" ca="1" si="165"/>
        <v>6</v>
      </c>
      <c r="Q2045" s="825">
        <f t="shared" ca="1" si="164"/>
        <v>53181.9</v>
      </c>
      <c r="R2045" s="825">
        <f t="shared" ca="1" si="166"/>
        <v>53181.9</v>
      </c>
      <c r="S2045" s="836" t="s">
        <v>6640</v>
      </c>
    </row>
    <row r="2046" spans="2:19" ht="45" customHeight="1" x14ac:dyDescent="0.25">
      <c r="B2046" s="864">
        <v>45667</v>
      </c>
      <c r="C2046" s="828">
        <v>45817</v>
      </c>
      <c r="D2046" s="823"/>
      <c r="E2046" s="848" t="s">
        <v>6988</v>
      </c>
      <c r="F2046" s="734" t="s">
        <v>6797</v>
      </c>
      <c r="G2046" s="761" t="s">
        <v>6635</v>
      </c>
      <c r="H2046" s="824" t="s">
        <v>28</v>
      </c>
      <c r="I2046" s="829" t="s">
        <v>6019</v>
      </c>
      <c r="J2046" s="830" t="s">
        <v>6225</v>
      </c>
      <c r="K2046" s="825">
        <v>59091</v>
      </c>
      <c r="L2046" s="826">
        <v>60.722200000000001</v>
      </c>
      <c r="M2046" s="825">
        <f t="shared" si="167"/>
        <v>973.13667818359681</v>
      </c>
      <c r="N2046" s="833">
        <v>60</v>
      </c>
      <c r="O2046" s="834">
        <f t="shared" si="163"/>
        <v>984.85</v>
      </c>
      <c r="P2046" s="835">
        <f t="shared" ca="1" si="165"/>
        <v>6</v>
      </c>
      <c r="Q2046" s="825">
        <f t="shared" ca="1" si="164"/>
        <v>53181.9</v>
      </c>
      <c r="R2046" s="825">
        <f t="shared" ca="1" si="166"/>
        <v>53181.9</v>
      </c>
      <c r="S2046" s="836" t="s">
        <v>6640</v>
      </c>
    </row>
    <row r="2047" spans="2:19" ht="45" customHeight="1" x14ac:dyDescent="0.25">
      <c r="B2047" s="864">
        <v>45667</v>
      </c>
      <c r="C2047" s="828">
        <v>45817</v>
      </c>
      <c r="D2047" s="823"/>
      <c r="E2047" s="848" t="s">
        <v>6988</v>
      </c>
      <c r="F2047" s="734" t="s">
        <v>6798</v>
      </c>
      <c r="G2047" s="761" t="s">
        <v>6635</v>
      </c>
      <c r="H2047" s="824" t="s">
        <v>28</v>
      </c>
      <c r="I2047" s="829" t="s">
        <v>6019</v>
      </c>
      <c r="J2047" s="830" t="s">
        <v>6225</v>
      </c>
      <c r="K2047" s="825">
        <v>59091</v>
      </c>
      <c r="L2047" s="826">
        <v>60.722200000000001</v>
      </c>
      <c r="M2047" s="825">
        <f t="shared" si="167"/>
        <v>973.13667818359681</v>
      </c>
      <c r="N2047" s="833">
        <v>60</v>
      </c>
      <c r="O2047" s="834">
        <f t="shared" si="163"/>
        <v>984.85</v>
      </c>
      <c r="P2047" s="835">
        <f t="shared" ca="1" si="165"/>
        <v>6</v>
      </c>
      <c r="Q2047" s="825">
        <f t="shared" ca="1" si="164"/>
        <v>53181.9</v>
      </c>
      <c r="R2047" s="825">
        <f t="shared" ca="1" si="166"/>
        <v>53181.9</v>
      </c>
      <c r="S2047" s="836" t="s">
        <v>6640</v>
      </c>
    </row>
    <row r="2048" spans="2:19" ht="45" customHeight="1" x14ac:dyDescent="0.25">
      <c r="B2048" s="864">
        <v>45667</v>
      </c>
      <c r="C2048" s="828">
        <v>45817</v>
      </c>
      <c r="D2048" s="823"/>
      <c r="E2048" s="848" t="s">
        <v>6988</v>
      </c>
      <c r="F2048" s="734" t="s">
        <v>6799</v>
      </c>
      <c r="G2048" s="761" t="s">
        <v>6635</v>
      </c>
      <c r="H2048" s="824" t="s">
        <v>28</v>
      </c>
      <c r="I2048" s="829" t="s">
        <v>6019</v>
      </c>
      <c r="J2048" s="830" t="s">
        <v>6225</v>
      </c>
      <c r="K2048" s="825">
        <v>59091</v>
      </c>
      <c r="L2048" s="826">
        <v>60.722200000000001</v>
      </c>
      <c r="M2048" s="825">
        <f t="shared" si="167"/>
        <v>973.13667818359681</v>
      </c>
      <c r="N2048" s="833">
        <v>60</v>
      </c>
      <c r="O2048" s="834">
        <f t="shared" si="163"/>
        <v>984.85</v>
      </c>
      <c r="P2048" s="835">
        <f t="shared" ca="1" si="165"/>
        <v>6</v>
      </c>
      <c r="Q2048" s="825">
        <f t="shared" ca="1" si="164"/>
        <v>53181.9</v>
      </c>
      <c r="R2048" s="825">
        <f t="shared" ca="1" si="166"/>
        <v>53181.9</v>
      </c>
      <c r="S2048" s="836" t="s">
        <v>6640</v>
      </c>
    </row>
    <row r="2049" spans="2:19" ht="45" customHeight="1" x14ac:dyDescent="0.25">
      <c r="B2049" s="864">
        <v>45667</v>
      </c>
      <c r="C2049" s="828">
        <v>45817</v>
      </c>
      <c r="D2049" s="823"/>
      <c r="E2049" s="848" t="s">
        <v>6988</v>
      </c>
      <c r="F2049" s="734" t="s">
        <v>6800</v>
      </c>
      <c r="G2049" s="761" t="s">
        <v>6635</v>
      </c>
      <c r="H2049" s="824" t="s">
        <v>28</v>
      </c>
      <c r="I2049" s="829" t="s">
        <v>6019</v>
      </c>
      <c r="J2049" s="830" t="s">
        <v>6225</v>
      </c>
      <c r="K2049" s="825">
        <v>59091</v>
      </c>
      <c r="L2049" s="826">
        <v>60.722200000000001</v>
      </c>
      <c r="M2049" s="825">
        <f t="shared" si="167"/>
        <v>973.13667818359681</v>
      </c>
      <c r="N2049" s="833">
        <v>60</v>
      </c>
      <c r="O2049" s="834">
        <f t="shared" si="163"/>
        <v>984.85</v>
      </c>
      <c r="P2049" s="835">
        <f t="shared" ca="1" si="165"/>
        <v>6</v>
      </c>
      <c r="Q2049" s="825">
        <f t="shared" ca="1" si="164"/>
        <v>53181.9</v>
      </c>
      <c r="R2049" s="825">
        <f t="shared" ca="1" si="166"/>
        <v>53181.9</v>
      </c>
      <c r="S2049" s="836" t="s">
        <v>6640</v>
      </c>
    </row>
    <row r="2050" spans="2:19" ht="45" customHeight="1" x14ac:dyDescent="0.25">
      <c r="B2050" s="864">
        <v>45667</v>
      </c>
      <c r="C2050" s="828">
        <v>45817</v>
      </c>
      <c r="D2050" s="823"/>
      <c r="E2050" s="848" t="s">
        <v>6988</v>
      </c>
      <c r="F2050" s="734" t="s">
        <v>6801</v>
      </c>
      <c r="G2050" s="761" t="s">
        <v>6635</v>
      </c>
      <c r="H2050" s="824" t="s">
        <v>28</v>
      </c>
      <c r="I2050" s="829" t="s">
        <v>6019</v>
      </c>
      <c r="J2050" s="830" t="s">
        <v>6225</v>
      </c>
      <c r="K2050" s="825">
        <v>59091</v>
      </c>
      <c r="L2050" s="826">
        <v>60.722200000000001</v>
      </c>
      <c r="M2050" s="825">
        <f t="shared" si="167"/>
        <v>973.13667818359681</v>
      </c>
      <c r="N2050" s="833">
        <v>60</v>
      </c>
      <c r="O2050" s="834">
        <f t="shared" si="163"/>
        <v>984.85</v>
      </c>
      <c r="P2050" s="835">
        <f t="shared" ca="1" si="165"/>
        <v>6</v>
      </c>
      <c r="Q2050" s="825">
        <f t="shared" ca="1" si="164"/>
        <v>53181.9</v>
      </c>
      <c r="R2050" s="825">
        <f t="shared" ca="1" si="166"/>
        <v>53181.9</v>
      </c>
      <c r="S2050" s="836" t="s">
        <v>6640</v>
      </c>
    </row>
    <row r="2051" spans="2:19" ht="45" customHeight="1" x14ac:dyDescent="0.25">
      <c r="B2051" s="864">
        <v>45667</v>
      </c>
      <c r="C2051" s="828">
        <v>45817</v>
      </c>
      <c r="D2051" s="823"/>
      <c r="E2051" s="848" t="s">
        <v>6988</v>
      </c>
      <c r="F2051" s="734" t="s">
        <v>6802</v>
      </c>
      <c r="G2051" s="761" t="s">
        <v>6635</v>
      </c>
      <c r="H2051" s="824" t="s">
        <v>28</v>
      </c>
      <c r="I2051" s="829" t="s">
        <v>6019</v>
      </c>
      <c r="J2051" s="830" t="s">
        <v>6225</v>
      </c>
      <c r="K2051" s="825">
        <v>59091</v>
      </c>
      <c r="L2051" s="826">
        <v>60.722200000000001</v>
      </c>
      <c r="M2051" s="825">
        <f t="shared" si="167"/>
        <v>973.13667818359681</v>
      </c>
      <c r="N2051" s="833">
        <v>60</v>
      </c>
      <c r="O2051" s="834">
        <f t="shared" si="163"/>
        <v>984.85</v>
      </c>
      <c r="P2051" s="835">
        <f t="shared" ca="1" si="165"/>
        <v>6</v>
      </c>
      <c r="Q2051" s="825">
        <f t="shared" ca="1" si="164"/>
        <v>53181.9</v>
      </c>
      <c r="R2051" s="825">
        <f t="shared" ca="1" si="166"/>
        <v>53181.9</v>
      </c>
      <c r="S2051" s="836" t="s">
        <v>6640</v>
      </c>
    </row>
    <row r="2052" spans="2:19" ht="45" customHeight="1" x14ac:dyDescent="0.25">
      <c r="B2052" s="864">
        <v>45667</v>
      </c>
      <c r="C2052" s="828">
        <v>45817</v>
      </c>
      <c r="D2052" s="823"/>
      <c r="E2052" s="848" t="s">
        <v>6988</v>
      </c>
      <c r="F2052" s="734" t="s">
        <v>6803</v>
      </c>
      <c r="G2052" s="761" t="s">
        <v>6635</v>
      </c>
      <c r="H2052" s="824" t="s">
        <v>28</v>
      </c>
      <c r="I2052" s="829" t="s">
        <v>6019</v>
      </c>
      <c r="J2052" s="830" t="s">
        <v>6225</v>
      </c>
      <c r="K2052" s="825">
        <v>59091</v>
      </c>
      <c r="L2052" s="826">
        <v>60.722200000000001</v>
      </c>
      <c r="M2052" s="825">
        <f t="shared" si="167"/>
        <v>973.13667818359681</v>
      </c>
      <c r="N2052" s="833">
        <v>60</v>
      </c>
      <c r="O2052" s="834">
        <f t="shared" ref="O2052:O2094" si="168">+K2052/N2052</f>
        <v>984.85</v>
      </c>
      <c r="P2052" s="835">
        <f t="shared" ca="1" si="165"/>
        <v>6</v>
      </c>
      <c r="Q2052" s="825">
        <f t="shared" ca="1" si="164"/>
        <v>53181.9</v>
      </c>
      <c r="R2052" s="825">
        <f t="shared" ca="1" si="166"/>
        <v>53181.9</v>
      </c>
      <c r="S2052" s="836" t="s">
        <v>6640</v>
      </c>
    </row>
    <row r="2053" spans="2:19" ht="45" customHeight="1" x14ac:dyDescent="0.25">
      <c r="B2053" s="864">
        <v>45667</v>
      </c>
      <c r="C2053" s="828">
        <v>45817</v>
      </c>
      <c r="D2053" s="823"/>
      <c r="E2053" s="848" t="s">
        <v>6988</v>
      </c>
      <c r="F2053" s="734" t="s">
        <v>6804</v>
      </c>
      <c r="G2053" s="761" t="s">
        <v>6635</v>
      </c>
      <c r="H2053" s="824" t="s">
        <v>28</v>
      </c>
      <c r="I2053" s="829" t="s">
        <v>6019</v>
      </c>
      <c r="J2053" s="830" t="s">
        <v>6225</v>
      </c>
      <c r="K2053" s="825">
        <v>59091</v>
      </c>
      <c r="L2053" s="826">
        <v>60.722200000000001</v>
      </c>
      <c r="M2053" s="825">
        <f t="shared" si="167"/>
        <v>973.13667818359681</v>
      </c>
      <c r="N2053" s="833">
        <v>60</v>
      </c>
      <c r="O2053" s="834">
        <f t="shared" si="168"/>
        <v>984.85</v>
      </c>
      <c r="P2053" s="835">
        <f t="shared" ca="1" si="165"/>
        <v>6</v>
      </c>
      <c r="Q2053" s="825">
        <f t="shared" ca="1" si="164"/>
        <v>53181.9</v>
      </c>
      <c r="R2053" s="825">
        <f t="shared" ca="1" si="166"/>
        <v>53181.9</v>
      </c>
      <c r="S2053" s="836" t="s">
        <v>6640</v>
      </c>
    </row>
    <row r="2054" spans="2:19" ht="45" customHeight="1" x14ac:dyDescent="0.25">
      <c r="B2054" s="864">
        <v>45667</v>
      </c>
      <c r="C2054" s="828">
        <v>45817</v>
      </c>
      <c r="D2054" s="823"/>
      <c r="E2054" s="848" t="s">
        <v>6988</v>
      </c>
      <c r="F2054" s="734" t="s">
        <v>6805</v>
      </c>
      <c r="G2054" s="761" t="s">
        <v>6635</v>
      </c>
      <c r="H2054" s="824" t="s">
        <v>28</v>
      </c>
      <c r="I2054" s="829" t="s">
        <v>6019</v>
      </c>
      <c r="J2054" s="830" t="s">
        <v>6225</v>
      </c>
      <c r="K2054" s="825">
        <v>59091</v>
      </c>
      <c r="L2054" s="826">
        <v>60.722200000000001</v>
      </c>
      <c r="M2054" s="825">
        <f t="shared" si="167"/>
        <v>973.13667818359681</v>
      </c>
      <c r="N2054" s="833">
        <v>60</v>
      </c>
      <c r="O2054" s="834">
        <f t="shared" si="168"/>
        <v>984.85</v>
      </c>
      <c r="P2054" s="835">
        <f t="shared" ca="1" si="165"/>
        <v>6</v>
      </c>
      <c r="Q2054" s="825">
        <f t="shared" ca="1" si="164"/>
        <v>53181.9</v>
      </c>
      <c r="R2054" s="825">
        <f t="shared" ca="1" si="166"/>
        <v>53181.9</v>
      </c>
      <c r="S2054" s="836" t="s">
        <v>6640</v>
      </c>
    </row>
    <row r="2055" spans="2:19" ht="45" customHeight="1" x14ac:dyDescent="0.25">
      <c r="B2055" s="864">
        <v>45667</v>
      </c>
      <c r="C2055" s="828">
        <v>45817</v>
      </c>
      <c r="D2055" s="823"/>
      <c r="E2055" s="848" t="s">
        <v>6988</v>
      </c>
      <c r="F2055" s="734" t="s">
        <v>6806</v>
      </c>
      <c r="G2055" s="761" t="s">
        <v>6635</v>
      </c>
      <c r="H2055" s="824" t="s">
        <v>28</v>
      </c>
      <c r="I2055" s="829" t="s">
        <v>6019</v>
      </c>
      <c r="J2055" s="830" t="s">
        <v>6225</v>
      </c>
      <c r="K2055" s="825">
        <v>59091</v>
      </c>
      <c r="L2055" s="826">
        <v>60.722200000000001</v>
      </c>
      <c r="M2055" s="825">
        <f t="shared" si="167"/>
        <v>973.13667818359681</v>
      </c>
      <c r="N2055" s="833">
        <v>60</v>
      </c>
      <c r="O2055" s="834">
        <f t="shared" si="168"/>
        <v>984.85</v>
      </c>
      <c r="P2055" s="835">
        <f t="shared" ca="1" si="165"/>
        <v>6</v>
      </c>
      <c r="Q2055" s="825">
        <f t="shared" ca="1" si="164"/>
        <v>53181.9</v>
      </c>
      <c r="R2055" s="825">
        <f t="shared" ca="1" si="166"/>
        <v>53181.9</v>
      </c>
      <c r="S2055" s="836" t="s">
        <v>6640</v>
      </c>
    </row>
    <row r="2056" spans="2:19" ht="45" customHeight="1" x14ac:dyDescent="0.25">
      <c r="B2056" s="864">
        <v>45667</v>
      </c>
      <c r="C2056" s="828">
        <v>45817</v>
      </c>
      <c r="D2056" s="823"/>
      <c r="E2056" s="848" t="s">
        <v>6988</v>
      </c>
      <c r="F2056" s="734" t="s">
        <v>6807</v>
      </c>
      <c r="G2056" s="761" t="s">
        <v>6635</v>
      </c>
      <c r="H2056" s="824" t="s">
        <v>28</v>
      </c>
      <c r="I2056" s="829" t="s">
        <v>6019</v>
      </c>
      <c r="J2056" s="830" t="s">
        <v>6225</v>
      </c>
      <c r="K2056" s="825">
        <v>59091</v>
      </c>
      <c r="L2056" s="826">
        <v>60.722200000000001</v>
      </c>
      <c r="M2056" s="825">
        <f t="shared" si="167"/>
        <v>973.13667818359681</v>
      </c>
      <c r="N2056" s="833">
        <v>60</v>
      </c>
      <c r="O2056" s="834">
        <f t="shared" si="168"/>
        <v>984.85</v>
      </c>
      <c r="P2056" s="835">
        <f t="shared" ca="1" si="165"/>
        <v>6</v>
      </c>
      <c r="Q2056" s="825">
        <f t="shared" ca="1" si="164"/>
        <v>53181.9</v>
      </c>
      <c r="R2056" s="825">
        <f t="shared" ca="1" si="166"/>
        <v>53181.9</v>
      </c>
      <c r="S2056" s="836" t="s">
        <v>6640</v>
      </c>
    </row>
    <row r="2057" spans="2:19" ht="45" customHeight="1" x14ac:dyDescent="0.25">
      <c r="B2057" s="864">
        <v>45667</v>
      </c>
      <c r="C2057" s="828">
        <v>45817</v>
      </c>
      <c r="D2057" s="823"/>
      <c r="E2057" s="848" t="s">
        <v>6988</v>
      </c>
      <c r="F2057" s="734" t="s">
        <v>6808</v>
      </c>
      <c r="G2057" s="761" t="s">
        <v>6635</v>
      </c>
      <c r="H2057" s="824" t="s">
        <v>28</v>
      </c>
      <c r="I2057" s="829" t="s">
        <v>6019</v>
      </c>
      <c r="J2057" s="830" t="s">
        <v>6225</v>
      </c>
      <c r="K2057" s="825">
        <v>59091</v>
      </c>
      <c r="L2057" s="826">
        <v>60.722200000000001</v>
      </c>
      <c r="M2057" s="825">
        <f t="shared" si="167"/>
        <v>973.13667818359681</v>
      </c>
      <c r="N2057" s="833">
        <v>60</v>
      </c>
      <c r="O2057" s="834">
        <f t="shared" si="168"/>
        <v>984.85</v>
      </c>
      <c r="P2057" s="835">
        <f t="shared" ca="1" si="165"/>
        <v>6</v>
      </c>
      <c r="Q2057" s="825">
        <f t="shared" ca="1" si="164"/>
        <v>53181.9</v>
      </c>
      <c r="R2057" s="825">
        <f t="shared" ca="1" si="166"/>
        <v>53181.9</v>
      </c>
      <c r="S2057" s="836" t="s">
        <v>6640</v>
      </c>
    </row>
    <row r="2058" spans="2:19" ht="45" customHeight="1" x14ac:dyDescent="0.25">
      <c r="B2058" s="864">
        <v>45667</v>
      </c>
      <c r="C2058" s="828">
        <v>45817</v>
      </c>
      <c r="D2058" s="823"/>
      <c r="E2058" s="848" t="s">
        <v>6988</v>
      </c>
      <c r="F2058" s="734" t="s">
        <v>6809</v>
      </c>
      <c r="G2058" s="761" t="s">
        <v>6635</v>
      </c>
      <c r="H2058" s="824" t="s">
        <v>28</v>
      </c>
      <c r="I2058" s="829" t="s">
        <v>6019</v>
      </c>
      <c r="J2058" s="830" t="s">
        <v>6225</v>
      </c>
      <c r="K2058" s="825">
        <v>59091</v>
      </c>
      <c r="L2058" s="826">
        <v>60.722200000000001</v>
      </c>
      <c r="M2058" s="825">
        <f t="shared" si="167"/>
        <v>973.13667818359681</v>
      </c>
      <c r="N2058" s="833">
        <v>60</v>
      </c>
      <c r="O2058" s="834">
        <f t="shared" si="168"/>
        <v>984.85</v>
      </c>
      <c r="P2058" s="835">
        <f t="shared" ca="1" si="165"/>
        <v>6</v>
      </c>
      <c r="Q2058" s="825">
        <f t="shared" ca="1" si="164"/>
        <v>53181.9</v>
      </c>
      <c r="R2058" s="825">
        <f t="shared" ca="1" si="166"/>
        <v>53181.9</v>
      </c>
      <c r="S2058" s="836" t="s">
        <v>6640</v>
      </c>
    </row>
    <row r="2059" spans="2:19" ht="45" customHeight="1" x14ac:dyDescent="0.25">
      <c r="B2059" s="864">
        <v>45667</v>
      </c>
      <c r="C2059" s="828">
        <v>45817</v>
      </c>
      <c r="D2059" s="823"/>
      <c r="E2059" s="848" t="s">
        <v>6988</v>
      </c>
      <c r="F2059" s="734" t="s">
        <v>6810</v>
      </c>
      <c r="G2059" s="761" t="s">
        <v>6636</v>
      </c>
      <c r="H2059" s="824" t="s">
        <v>28</v>
      </c>
      <c r="I2059" s="829" t="s">
        <v>6019</v>
      </c>
      <c r="J2059" s="830" t="s">
        <v>6225</v>
      </c>
      <c r="K2059" s="825">
        <v>12272</v>
      </c>
      <c r="L2059" s="826">
        <v>60.722200000000001</v>
      </c>
      <c r="M2059" s="825">
        <f t="shared" si="167"/>
        <v>202.10071440099338</v>
      </c>
      <c r="N2059" s="833">
        <v>60</v>
      </c>
      <c r="O2059" s="834">
        <f t="shared" si="168"/>
        <v>204.53333333333333</v>
      </c>
      <c r="P2059" s="835">
        <f t="shared" ca="1" si="165"/>
        <v>6</v>
      </c>
      <c r="Q2059" s="825">
        <f t="shared" ca="1" si="164"/>
        <v>11044.8</v>
      </c>
      <c r="R2059" s="825">
        <f t="shared" ca="1" si="166"/>
        <v>11044.8</v>
      </c>
      <c r="S2059" s="836" t="s">
        <v>6640</v>
      </c>
    </row>
    <row r="2060" spans="2:19" ht="45" customHeight="1" x14ac:dyDescent="0.25">
      <c r="B2060" s="864">
        <v>45667</v>
      </c>
      <c r="C2060" s="828">
        <v>45817</v>
      </c>
      <c r="D2060" s="823"/>
      <c r="E2060" s="848" t="s">
        <v>6988</v>
      </c>
      <c r="F2060" s="734" t="s">
        <v>6811</v>
      </c>
      <c r="G2060" s="761" t="s">
        <v>6636</v>
      </c>
      <c r="H2060" s="824" t="s">
        <v>28</v>
      </c>
      <c r="I2060" s="829" t="s">
        <v>6019</v>
      </c>
      <c r="J2060" s="830" t="s">
        <v>6225</v>
      </c>
      <c r="K2060" s="825">
        <v>12272</v>
      </c>
      <c r="L2060" s="826">
        <v>60.722200000000001</v>
      </c>
      <c r="M2060" s="825">
        <f t="shared" si="167"/>
        <v>202.10071440099338</v>
      </c>
      <c r="N2060" s="833">
        <v>60</v>
      </c>
      <c r="O2060" s="834">
        <f t="shared" si="168"/>
        <v>204.53333333333333</v>
      </c>
      <c r="P2060" s="835">
        <f t="shared" ca="1" si="165"/>
        <v>6</v>
      </c>
      <c r="Q2060" s="825">
        <f t="shared" ca="1" si="164"/>
        <v>11044.8</v>
      </c>
      <c r="R2060" s="825">
        <f t="shared" ca="1" si="166"/>
        <v>11044.8</v>
      </c>
      <c r="S2060" s="836" t="s">
        <v>6640</v>
      </c>
    </row>
    <row r="2061" spans="2:19" ht="45" customHeight="1" x14ac:dyDescent="0.25">
      <c r="B2061" s="864">
        <v>45667</v>
      </c>
      <c r="C2061" s="828">
        <v>45817</v>
      </c>
      <c r="D2061" s="823"/>
      <c r="E2061" s="848" t="s">
        <v>6988</v>
      </c>
      <c r="F2061" s="734" t="s">
        <v>6812</v>
      </c>
      <c r="G2061" s="761" t="s">
        <v>6636</v>
      </c>
      <c r="H2061" s="824" t="s">
        <v>28</v>
      </c>
      <c r="I2061" s="829" t="s">
        <v>6019</v>
      </c>
      <c r="J2061" s="830" t="s">
        <v>6225</v>
      </c>
      <c r="K2061" s="825">
        <v>12272</v>
      </c>
      <c r="L2061" s="826">
        <v>60.722200000000001</v>
      </c>
      <c r="M2061" s="825">
        <f t="shared" si="167"/>
        <v>202.10071440099338</v>
      </c>
      <c r="N2061" s="833">
        <v>60</v>
      </c>
      <c r="O2061" s="834">
        <f t="shared" si="168"/>
        <v>204.53333333333333</v>
      </c>
      <c r="P2061" s="835">
        <f t="shared" ca="1" si="165"/>
        <v>6</v>
      </c>
      <c r="Q2061" s="825">
        <f t="shared" ca="1" si="164"/>
        <v>11044.8</v>
      </c>
      <c r="R2061" s="825">
        <f t="shared" ca="1" si="166"/>
        <v>11044.8</v>
      </c>
      <c r="S2061" s="836" t="s">
        <v>6640</v>
      </c>
    </row>
    <row r="2062" spans="2:19" ht="45" customHeight="1" x14ac:dyDescent="0.25">
      <c r="B2062" s="864">
        <v>45667</v>
      </c>
      <c r="C2062" s="828">
        <v>45817</v>
      </c>
      <c r="D2062" s="823"/>
      <c r="E2062" s="848" t="s">
        <v>6988</v>
      </c>
      <c r="F2062" s="734" t="s">
        <v>6813</v>
      </c>
      <c r="G2062" s="761" t="s">
        <v>6636</v>
      </c>
      <c r="H2062" s="824" t="s">
        <v>28</v>
      </c>
      <c r="I2062" s="829" t="s">
        <v>6019</v>
      </c>
      <c r="J2062" s="830" t="s">
        <v>6225</v>
      </c>
      <c r="K2062" s="825">
        <v>12272</v>
      </c>
      <c r="L2062" s="826">
        <v>60.722200000000001</v>
      </c>
      <c r="M2062" s="825">
        <f t="shared" si="167"/>
        <v>202.10071440099338</v>
      </c>
      <c r="N2062" s="833">
        <v>60</v>
      </c>
      <c r="O2062" s="834">
        <f t="shared" si="168"/>
        <v>204.53333333333333</v>
      </c>
      <c r="P2062" s="835">
        <f t="shared" ca="1" si="165"/>
        <v>6</v>
      </c>
      <c r="Q2062" s="825">
        <f t="shared" ca="1" si="164"/>
        <v>11044.8</v>
      </c>
      <c r="R2062" s="825">
        <f t="shared" ca="1" si="166"/>
        <v>11044.8</v>
      </c>
      <c r="S2062" s="836" t="s">
        <v>6640</v>
      </c>
    </row>
    <row r="2063" spans="2:19" ht="45" customHeight="1" x14ac:dyDescent="0.25">
      <c r="B2063" s="864">
        <v>45667</v>
      </c>
      <c r="C2063" s="828">
        <v>45817</v>
      </c>
      <c r="D2063" s="823"/>
      <c r="E2063" s="848" t="s">
        <v>6988</v>
      </c>
      <c r="F2063" s="734" t="s">
        <v>6814</v>
      </c>
      <c r="G2063" s="761" t="s">
        <v>6636</v>
      </c>
      <c r="H2063" s="824" t="s">
        <v>28</v>
      </c>
      <c r="I2063" s="829" t="s">
        <v>6019</v>
      </c>
      <c r="J2063" s="830" t="s">
        <v>6225</v>
      </c>
      <c r="K2063" s="825">
        <v>12272</v>
      </c>
      <c r="L2063" s="826">
        <v>60.722200000000001</v>
      </c>
      <c r="M2063" s="825">
        <f t="shared" si="167"/>
        <v>202.10071440099338</v>
      </c>
      <c r="N2063" s="833">
        <v>60</v>
      </c>
      <c r="O2063" s="834">
        <f t="shared" si="168"/>
        <v>204.53333333333333</v>
      </c>
      <c r="P2063" s="835">
        <f t="shared" ca="1" si="165"/>
        <v>6</v>
      </c>
      <c r="Q2063" s="825">
        <f t="shared" ca="1" si="164"/>
        <v>11044.8</v>
      </c>
      <c r="R2063" s="825">
        <f t="shared" ca="1" si="166"/>
        <v>11044.8</v>
      </c>
      <c r="S2063" s="836" t="s">
        <v>6640</v>
      </c>
    </row>
    <row r="2064" spans="2:19" ht="45" customHeight="1" x14ac:dyDescent="0.25">
      <c r="B2064" s="864">
        <v>45667</v>
      </c>
      <c r="C2064" s="828">
        <v>45817</v>
      </c>
      <c r="D2064" s="823"/>
      <c r="E2064" s="848" t="s">
        <v>6988</v>
      </c>
      <c r="F2064" s="734" t="s">
        <v>6815</v>
      </c>
      <c r="G2064" s="761" t="s">
        <v>6636</v>
      </c>
      <c r="H2064" s="824" t="s">
        <v>28</v>
      </c>
      <c r="I2064" s="829" t="s">
        <v>6019</v>
      </c>
      <c r="J2064" s="830" t="s">
        <v>6225</v>
      </c>
      <c r="K2064" s="825">
        <v>12272</v>
      </c>
      <c r="L2064" s="826">
        <v>60.722200000000001</v>
      </c>
      <c r="M2064" s="825">
        <f t="shared" si="167"/>
        <v>202.10071440099338</v>
      </c>
      <c r="N2064" s="833">
        <v>60</v>
      </c>
      <c r="O2064" s="834">
        <f t="shared" si="168"/>
        <v>204.53333333333333</v>
      </c>
      <c r="P2064" s="835">
        <f t="shared" ca="1" si="165"/>
        <v>6</v>
      </c>
      <c r="Q2064" s="825">
        <f t="shared" ca="1" si="164"/>
        <v>11044.8</v>
      </c>
      <c r="R2064" s="825">
        <f t="shared" ca="1" si="166"/>
        <v>11044.8</v>
      </c>
      <c r="S2064" s="836" t="s">
        <v>6640</v>
      </c>
    </row>
    <row r="2065" spans="2:19" ht="45" customHeight="1" x14ac:dyDescent="0.25">
      <c r="B2065" s="864">
        <v>45667</v>
      </c>
      <c r="C2065" s="828">
        <v>45817</v>
      </c>
      <c r="D2065" s="823"/>
      <c r="E2065" s="848" t="s">
        <v>6988</v>
      </c>
      <c r="F2065" s="734" t="s">
        <v>6816</v>
      </c>
      <c r="G2065" s="761" t="s">
        <v>6636</v>
      </c>
      <c r="H2065" s="824" t="s">
        <v>28</v>
      </c>
      <c r="I2065" s="829" t="s">
        <v>6019</v>
      </c>
      <c r="J2065" s="830" t="s">
        <v>6225</v>
      </c>
      <c r="K2065" s="825">
        <v>12272</v>
      </c>
      <c r="L2065" s="826">
        <v>60.722200000000001</v>
      </c>
      <c r="M2065" s="825">
        <f t="shared" si="167"/>
        <v>202.10071440099338</v>
      </c>
      <c r="N2065" s="833">
        <v>60</v>
      </c>
      <c r="O2065" s="834">
        <f t="shared" si="168"/>
        <v>204.53333333333333</v>
      </c>
      <c r="P2065" s="835">
        <f t="shared" ca="1" si="165"/>
        <v>6</v>
      </c>
      <c r="Q2065" s="825">
        <f t="shared" ref="Q2065:Q2095" ca="1" si="169">IF(OR(K2065=0,N2065=0,P2065=0),0,K2065-(O2065*P2065))</f>
        <v>11044.8</v>
      </c>
      <c r="R2065" s="825">
        <f t="shared" ca="1" si="166"/>
        <v>11044.8</v>
      </c>
      <c r="S2065" s="836" t="s">
        <v>6640</v>
      </c>
    </row>
    <row r="2066" spans="2:19" ht="45" customHeight="1" x14ac:dyDescent="0.25">
      <c r="B2066" s="864">
        <v>45667</v>
      </c>
      <c r="C2066" s="828">
        <v>45817</v>
      </c>
      <c r="D2066" s="823"/>
      <c r="E2066" s="848" t="s">
        <v>6988</v>
      </c>
      <c r="F2066" s="734" t="s">
        <v>6817</v>
      </c>
      <c r="G2066" s="761" t="s">
        <v>6636</v>
      </c>
      <c r="H2066" s="824" t="s">
        <v>28</v>
      </c>
      <c r="I2066" s="829" t="s">
        <v>6019</v>
      </c>
      <c r="J2066" s="830" t="s">
        <v>6225</v>
      </c>
      <c r="K2066" s="825">
        <v>12272</v>
      </c>
      <c r="L2066" s="826">
        <v>60.722200000000001</v>
      </c>
      <c r="M2066" s="825">
        <f t="shared" si="167"/>
        <v>202.10071440099338</v>
      </c>
      <c r="N2066" s="833">
        <v>60</v>
      </c>
      <c r="O2066" s="834">
        <f t="shared" si="168"/>
        <v>204.53333333333333</v>
      </c>
      <c r="P2066" s="835">
        <f t="shared" ca="1" si="165"/>
        <v>6</v>
      </c>
      <c r="Q2066" s="825">
        <f t="shared" ca="1" si="169"/>
        <v>11044.8</v>
      </c>
      <c r="R2066" s="825">
        <f t="shared" ca="1" si="166"/>
        <v>11044.8</v>
      </c>
      <c r="S2066" s="836" t="s">
        <v>6640</v>
      </c>
    </row>
    <row r="2067" spans="2:19" ht="45" customHeight="1" x14ac:dyDescent="0.25">
      <c r="B2067" s="864">
        <v>45667</v>
      </c>
      <c r="C2067" s="828">
        <v>45817</v>
      </c>
      <c r="D2067" s="823"/>
      <c r="E2067" s="848" t="s">
        <v>6988</v>
      </c>
      <c r="F2067" s="734" t="s">
        <v>6818</v>
      </c>
      <c r="G2067" s="761" t="s">
        <v>6636</v>
      </c>
      <c r="H2067" s="824" t="s">
        <v>28</v>
      </c>
      <c r="I2067" s="829" t="s">
        <v>6019</v>
      </c>
      <c r="J2067" s="830" t="s">
        <v>6225</v>
      </c>
      <c r="K2067" s="825">
        <v>12272</v>
      </c>
      <c r="L2067" s="826">
        <v>60.722200000000001</v>
      </c>
      <c r="M2067" s="825">
        <f t="shared" si="167"/>
        <v>202.10071440099338</v>
      </c>
      <c r="N2067" s="833">
        <v>60</v>
      </c>
      <c r="O2067" s="834">
        <f t="shared" si="168"/>
        <v>204.53333333333333</v>
      </c>
      <c r="P2067" s="835">
        <f t="shared" ca="1" si="165"/>
        <v>6</v>
      </c>
      <c r="Q2067" s="825">
        <f t="shared" ca="1" si="169"/>
        <v>11044.8</v>
      </c>
      <c r="R2067" s="825">
        <f t="shared" ca="1" si="166"/>
        <v>11044.8</v>
      </c>
      <c r="S2067" s="836" t="s">
        <v>6640</v>
      </c>
    </row>
    <row r="2068" spans="2:19" ht="45" customHeight="1" x14ac:dyDescent="0.25">
      <c r="B2068" s="864">
        <v>45667</v>
      </c>
      <c r="C2068" s="828">
        <v>45817</v>
      </c>
      <c r="D2068" s="823"/>
      <c r="E2068" s="848" t="s">
        <v>6988</v>
      </c>
      <c r="F2068" s="734" t="s">
        <v>6819</v>
      </c>
      <c r="G2068" s="761" t="s">
        <v>6636</v>
      </c>
      <c r="H2068" s="824" t="s">
        <v>28</v>
      </c>
      <c r="I2068" s="829" t="s">
        <v>6019</v>
      </c>
      <c r="J2068" s="830" t="s">
        <v>6225</v>
      </c>
      <c r="K2068" s="825">
        <v>12272</v>
      </c>
      <c r="L2068" s="826">
        <v>60.722200000000001</v>
      </c>
      <c r="M2068" s="825">
        <f t="shared" si="167"/>
        <v>202.10071440099338</v>
      </c>
      <c r="N2068" s="833">
        <v>60</v>
      </c>
      <c r="O2068" s="834">
        <f t="shared" si="168"/>
        <v>204.53333333333333</v>
      </c>
      <c r="P2068" s="835">
        <f t="shared" ca="1" si="165"/>
        <v>6</v>
      </c>
      <c r="Q2068" s="825">
        <f t="shared" ca="1" si="169"/>
        <v>11044.8</v>
      </c>
      <c r="R2068" s="825">
        <f t="shared" ca="1" si="166"/>
        <v>11044.8</v>
      </c>
      <c r="S2068" s="836" t="s">
        <v>6640</v>
      </c>
    </row>
    <row r="2069" spans="2:19" ht="45" customHeight="1" x14ac:dyDescent="0.25">
      <c r="B2069" s="864">
        <v>45667</v>
      </c>
      <c r="C2069" s="828">
        <v>45817</v>
      </c>
      <c r="D2069" s="823"/>
      <c r="E2069" s="848" t="s">
        <v>6988</v>
      </c>
      <c r="F2069" s="734" t="s">
        <v>6820</v>
      </c>
      <c r="G2069" s="761" t="s">
        <v>6636</v>
      </c>
      <c r="H2069" s="824" t="s">
        <v>28</v>
      </c>
      <c r="I2069" s="829" t="s">
        <v>6019</v>
      </c>
      <c r="J2069" s="830" t="s">
        <v>6225</v>
      </c>
      <c r="K2069" s="825">
        <v>12272</v>
      </c>
      <c r="L2069" s="826">
        <v>60.722200000000001</v>
      </c>
      <c r="M2069" s="825">
        <f t="shared" si="167"/>
        <v>202.10071440099338</v>
      </c>
      <c r="N2069" s="833">
        <v>60</v>
      </c>
      <c r="O2069" s="834">
        <f t="shared" si="168"/>
        <v>204.53333333333333</v>
      </c>
      <c r="P2069" s="835">
        <f t="shared" ca="1" si="165"/>
        <v>6</v>
      </c>
      <c r="Q2069" s="825">
        <f t="shared" ca="1" si="169"/>
        <v>11044.8</v>
      </c>
      <c r="R2069" s="825">
        <f t="shared" ca="1" si="166"/>
        <v>11044.8</v>
      </c>
      <c r="S2069" s="836" t="s">
        <v>6640</v>
      </c>
    </row>
    <row r="2070" spans="2:19" ht="45" customHeight="1" x14ac:dyDescent="0.25">
      <c r="B2070" s="864">
        <v>45667</v>
      </c>
      <c r="C2070" s="828">
        <v>45817</v>
      </c>
      <c r="D2070" s="823"/>
      <c r="E2070" s="848" t="s">
        <v>6988</v>
      </c>
      <c r="F2070" s="734" t="s">
        <v>6821</v>
      </c>
      <c r="G2070" s="761" t="s">
        <v>6636</v>
      </c>
      <c r="H2070" s="824" t="s">
        <v>28</v>
      </c>
      <c r="I2070" s="829" t="s">
        <v>6019</v>
      </c>
      <c r="J2070" s="830" t="s">
        <v>6225</v>
      </c>
      <c r="K2070" s="825">
        <v>12272</v>
      </c>
      <c r="L2070" s="826">
        <v>60.722200000000001</v>
      </c>
      <c r="M2070" s="825">
        <f t="shared" si="167"/>
        <v>202.10071440099338</v>
      </c>
      <c r="N2070" s="833">
        <v>60</v>
      </c>
      <c r="O2070" s="834">
        <f t="shared" si="168"/>
        <v>204.53333333333333</v>
      </c>
      <c r="P2070" s="835">
        <f t="shared" ca="1" si="165"/>
        <v>6</v>
      </c>
      <c r="Q2070" s="825">
        <f t="shared" ca="1" si="169"/>
        <v>11044.8</v>
      </c>
      <c r="R2070" s="825">
        <f t="shared" ca="1" si="166"/>
        <v>11044.8</v>
      </c>
      <c r="S2070" s="836" t="s">
        <v>6640</v>
      </c>
    </row>
    <row r="2071" spans="2:19" ht="45" customHeight="1" x14ac:dyDescent="0.25">
      <c r="B2071" s="864">
        <v>45667</v>
      </c>
      <c r="C2071" s="828">
        <v>45817</v>
      </c>
      <c r="D2071" s="823"/>
      <c r="E2071" s="848" t="s">
        <v>6988</v>
      </c>
      <c r="F2071" s="734" t="s">
        <v>6822</v>
      </c>
      <c r="G2071" s="761" t="s">
        <v>6636</v>
      </c>
      <c r="H2071" s="824" t="s">
        <v>28</v>
      </c>
      <c r="I2071" s="829" t="s">
        <v>6019</v>
      </c>
      <c r="J2071" s="830" t="s">
        <v>6225</v>
      </c>
      <c r="K2071" s="825">
        <v>12272</v>
      </c>
      <c r="L2071" s="826">
        <v>60.722200000000001</v>
      </c>
      <c r="M2071" s="825">
        <f t="shared" si="167"/>
        <v>202.10071440099338</v>
      </c>
      <c r="N2071" s="833">
        <v>60</v>
      </c>
      <c r="O2071" s="834">
        <f t="shared" si="168"/>
        <v>204.53333333333333</v>
      </c>
      <c r="P2071" s="835">
        <f t="shared" ref="P2071:P2094" ca="1" si="170">IF(B2071&lt;&gt;0,(ROUND((NOW()-B2071)/30,0)),0)</f>
        <v>6</v>
      </c>
      <c r="Q2071" s="825">
        <f t="shared" ca="1" si="169"/>
        <v>11044.8</v>
      </c>
      <c r="R2071" s="825">
        <f t="shared" ref="R2071:R2094" ca="1" si="171">IF(Q2071&lt;1,1,Q2071)</f>
        <v>11044.8</v>
      </c>
      <c r="S2071" s="836" t="s">
        <v>6640</v>
      </c>
    </row>
    <row r="2072" spans="2:19" ht="45" customHeight="1" x14ac:dyDescent="0.25">
      <c r="B2072" s="864">
        <v>45667</v>
      </c>
      <c r="C2072" s="828">
        <v>45817</v>
      </c>
      <c r="D2072" s="823"/>
      <c r="E2072" s="848" t="s">
        <v>6988</v>
      </c>
      <c r="F2072" s="734" t="s">
        <v>6823</v>
      </c>
      <c r="G2072" s="761" t="s">
        <v>6636</v>
      </c>
      <c r="H2072" s="824" t="s">
        <v>28</v>
      </c>
      <c r="I2072" s="829" t="s">
        <v>6019</v>
      </c>
      <c r="J2072" s="830" t="s">
        <v>6225</v>
      </c>
      <c r="K2072" s="825">
        <v>12272</v>
      </c>
      <c r="L2072" s="826">
        <v>60.722200000000001</v>
      </c>
      <c r="M2072" s="825">
        <f t="shared" si="167"/>
        <v>202.10071440099338</v>
      </c>
      <c r="N2072" s="833">
        <v>60</v>
      </c>
      <c r="O2072" s="834">
        <f t="shared" si="168"/>
        <v>204.53333333333333</v>
      </c>
      <c r="P2072" s="835">
        <f t="shared" ca="1" si="170"/>
        <v>6</v>
      </c>
      <c r="Q2072" s="825">
        <f t="shared" ca="1" si="169"/>
        <v>11044.8</v>
      </c>
      <c r="R2072" s="825">
        <f t="shared" ca="1" si="171"/>
        <v>11044.8</v>
      </c>
      <c r="S2072" s="836" t="s">
        <v>6640</v>
      </c>
    </row>
    <row r="2073" spans="2:19" ht="45" customHeight="1" x14ac:dyDescent="0.25">
      <c r="B2073" s="864">
        <v>45667</v>
      </c>
      <c r="C2073" s="828">
        <v>45817</v>
      </c>
      <c r="D2073" s="823"/>
      <c r="E2073" s="848" t="s">
        <v>6988</v>
      </c>
      <c r="F2073" s="734" t="s">
        <v>6824</v>
      </c>
      <c r="G2073" s="761" t="s">
        <v>6636</v>
      </c>
      <c r="H2073" s="824" t="s">
        <v>28</v>
      </c>
      <c r="I2073" s="829" t="s">
        <v>6019</v>
      </c>
      <c r="J2073" s="830" t="s">
        <v>6225</v>
      </c>
      <c r="K2073" s="825">
        <v>12272</v>
      </c>
      <c r="L2073" s="826">
        <v>60.722200000000001</v>
      </c>
      <c r="M2073" s="825">
        <f t="shared" si="167"/>
        <v>202.10071440099338</v>
      </c>
      <c r="N2073" s="833">
        <v>60</v>
      </c>
      <c r="O2073" s="834">
        <f t="shared" si="168"/>
        <v>204.53333333333333</v>
      </c>
      <c r="P2073" s="835">
        <f t="shared" ca="1" si="170"/>
        <v>6</v>
      </c>
      <c r="Q2073" s="825">
        <f t="shared" ca="1" si="169"/>
        <v>11044.8</v>
      </c>
      <c r="R2073" s="825">
        <f t="shared" ca="1" si="171"/>
        <v>11044.8</v>
      </c>
      <c r="S2073" s="836" t="s">
        <v>6640</v>
      </c>
    </row>
    <row r="2074" spans="2:19" ht="45" customHeight="1" x14ac:dyDescent="0.25">
      <c r="B2074" s="864">
        <v>45667</v>
      </c>
      <c r="C2074" s="828">
        <v>45817</v>
      </c>
      <c r="D2074" s="823"/>
      <c r="E2074" s="848" t="s">
        <v>6988</v>
      </c>
      <c r="F2074" s="734" t="s">
        <v>6825</v>
      </c>
      <c r="G2074" s="761" t="s">
        <v>6636</v>
      </c>
      <c r="H2074" s="824" t="s">
        <v>28</v>
      </c>
      <c r="I2074" s="829" t="s">
        <v>6019</v>
      </c>
      <c r="J2074" s="830" t="s">
        <v>6225</v>
      </c>
      <c r="K2074" s="825">
        <v>12272</v>
      </c>
      <c r="L2074" s="826">
        <v>60.722200000000001</v>
      </c>
      <c r="M2074" s="825">
        <f t="shared" si="167"/>
        <v>202.10071440099338</v>
      </c>
      <c r="N2074" s="833">
        <v>60</v>
      </c>
      <c r="O2074" s="834">
        <f t="shared" si="168"/>
        <v>204.53333333333333</v>
      </c>
      <c r="P2074" s="835">
        <f t="shared" ca="1" si="170"/>
        <v>6</v>
      </c>
      <c r="Q2074" s="825">
        <f t="shared" ca="1" si="169"/>
        <v>11044.8</v>
      </c>
      <c r="R2074" s="825">
        <f t="shared" ca="1" si="171"/>
        <v>11044.8</v>
      </c>
      <c r="S2074" s="836" t="s">
        <v>6640</v>
      </c>
    </row>
    <row r="2075" spans="2:19" ht="45" customHeight="1" x14ac:dyDescent="0.25">
      <c r="B2075" s="864">
        <v>45667</v>
      </c>
      <c r="C2075" s="828">
        <v>45817</v>
      </c>
      <c r="D2075" s="823"/>
      <c r="E2075" s="848" t="s">
        <v>6988</v>
      </c>
      <c r="F2075" s="734" t="s">
        <v>6826</v>
      </c>
      <c r="G2075" s="761" t="s">
        <v>6636</v>
      </c>
      <c r="H2075" s="824" t="s">
        <v>28</v>
      </c>
      <c r="I2075" s="829" t="s">
        <v>6019</v>
      </c>
      <c r="J2075" s="830" t="s">
        <v>6225</v>
      </c>
      <c r="K2075" s="825">
        <v>12272</v>
      </c>
      <c r="L2075" s="826">
        <v>60.722200000000001</v>
      </c>
      <c r="M2075" s="825">
        <f t="shared" si="167"/>
        <v>202.10071440099338</v>
      </c>
      <c r="N2075" s="833">
        <v>60</v>
      </c>
      <c r="O2075" s="834">
        <f t="shared" si="168"/>
        <v>204.53333333333333</v>
      </c>
      <c r="P2075" s="835">
        <f t="shared" ca="1" si="170"/>
        <v>6</v>
      </c>
      <c r="Q2075" s="825">
        <f t="shared" ca="1" si="169"/>
        <v>11044.8</v>
      </c>
      <c r="R2075" s="825">
        <f t="shared" ca="1" si="171"/>
        <v>11044.8</v>
      </c>
      <c r="S2075" s="836" t="s">
        <v>6640</v>
      </c>
    </row>
    <row r="2076" spans="2:19" ht="45" customHeight="1" x14ac:dyDescent="0.25">
      <c r="B2076" s="864">
        <v>45667</v>
      </c>
      <c r="C2076" s="828">
        <v>45817</v>
      </c>
      <c r="D2076" s="823"/>
      <c r="E2076" s="848" t="s">
        <v>6988</v>
      </c>
      <c r="F2076" s="734" t="s">
        <v>6827</v>
      </c>
      <c r="G2076" s="761" t="s">
        <v>6636</v>
      </c>
      <c r="H2076" s="824" t="s">
        <v>28</v>
      </c>
      <c r="I2076" s="829" t="s">
        <v>6019</v>
      </c>
      <c r="J2076" s="830" t="s">
        <v>6225</v>
      </c>
      <c r="K2076" s="825">
        <v>12272</v>
      </c>
      <c r="L2076" s="826">
        <v>60.722200000000001</v>
      </c>
      <c r="M2076" s="825">
        <f t="shared" si="167"/>
        <v>202.10071440099338</v>
      </c>
      <c r="N2076" s="833">
        <v>60</v>
      </c>
      <c r="O2076" s="834">
        <f t="shared" si="168"/>
        <v>204.53333333333333</v>
      </c>
      <c r="P2076" s="835">
        <f t="shared" ca="1" si="170"/>
        <v>6</v>
      </c>
      <c r="Q2076" s="825">
        <f t="shared" ca="1" si="169"/>
        <v>11044.8</v>
      </c>
      <c r="R2076" s="825">
        <f t="shared" ca="1" si="171"/>
        <v>11044.8</v>
      </c>
      <c r="S2076" s="836" t="s">
        <v>6640</v>
      </c>
    </row>
    <row r="2077" spans="2:19" ht="45" customHeight="1" x14ac:dyDescent="0.25">
      <c r="B2077" s="864">
        <v>45667</v>
      </c>
      <c r="C2077" s="828">
        <v>45817</v>
      </c>
      <c r="D2077" s="823"/>
      <c r="E2077" s="848" t="s">
        <v>6988</v>
      </c>
      <c r="F2077" s="734" t="s">
        <v>6828</v>
      </c>
      <c r="G2077" s="761" t="s">
        <v>6636</v>
      </c>
      <c r="H2077" s="824" t="s">
        <v>28</v>
      </c>
      <c r="I2077" s="829" t="s">
        <v>6019</v>
      </c>
      <c r="J2077" s="830" t="s">
        <v>6225</v>
      </c>
      <c r="K2077" s="825">
        <v>12272</v>
      </c>
      <c r="L2077" s="826">
        <v>60.722200000000001</v>
      </c>
      <c r="M2077" s="825">
        <f t="shared" si="167"/>
        <v>202.10071440099338</v>
      </c>
      <c r="N2077" s="833">
        <v>60</v>
      </c>
      <c r="O2077" s="834">
        <f t="shared" si="168"/>
        <v>204.53333333333333</v>
      </c>
      <c r="P2077" s="835">
        <f t="shared" ca="1" si="170"/>
        <v>6</v>
      </c>
      <c r="Q2077" s="825">
        <f t="shared" ca="1" si="169"/>
        <v>11044.8</v>
      </c>
      <c r="R2077" s="825">
        <f t="shared" ca="1" si="171"/>
        <v>11044.8</v>
      </c>
      <c r="S2077" s="836" t="s">
        <v>6640</v>
      </c>
    </row>
    <row r="2078" spans="2:19" ht="45" customHeight="1" x14ac:dyDescent="0.25">
      <c r="B2078" s="864">
        <v>45667</v>
      </c>
      <c r="C2078" s="828">
        <v>45817</v>
      </c>
      <c r="D2078" s="823"/>
      <c r="E2078" s="848" t="s">
        <v>6988</v>
      </c>
      <c r="F2078" s="734" t="s">
        <v>6829</v>
      </c>
      <c r="G2078" s="761" t="s">
        <v>6636</v>
      </c>
      <c r="H2078" s="824" t="s">
        <v>28</v>
      </c>
      <c r="I2078" s="829" t="s">
        <v>6019</v>
      </c>
      <c r="J2078" s="830" t="s">
        <v>6225</v>
      </c>
      <c r="K2078" s="825">
        <v>12272</v>
      </c>
      <c r="L2078" s="826">
        <v>60.722200000000001</v>
      </c>
      <c r="M2078" s="825">
        <f t="shared" si="167"/>
        <v>202.10071440099338</v>
      </c>
      <c r="N2078" s="833">
        <v>60</v>
      </c>
      <c r="O2078" s="834">
        <f t="shared" si="168"/>
        <v>204.53333333333333</v>
      </c>
      <c r="P2078" s="835">
        <f t="shared" ca="1" si="170"/>
        <v>6</v>
      </c>
      <c r="Q2078" s="825">
        <f t="shared" ca="1" si="169"/>
        <v>11044.8</v>
      </c>
      <c r="R2078" s="825">
        <f t="shared" ca="1" si="171"/>
        <v>11044.8</v>
      </c>
      <c r="S2078" s="836" t="s">
        <v>6640</v>
      </c>
    </row>
    <row r="2079" spans="2:19" ht="45" customHeight="1" x14ac:dyDescent="0.25">
      <c r="B2079" s="864">
        <v>45667</v>
      </c>
      <c r="C2079" s="828">
        <v>45817</v>
      </c>
      <c r="D2079" s="823"/>
      <c r="E2079" s="848" t="s">
        <v>6988</v>
      </c>
      <c r="F2079" s="734" t="s">
        <v>6830</v>
      </c>
      <c r="G2079" s="761" t="s">
        <v>6636</v>
      </c>
      <c r="H2079" s="824" t="s">
        <v>28</v>
      </c>
      <c r="I2079" s="829" t="s">
        <v>6019</v>
      </c>
      <c r="J2079" s="830" t="s">
        <v>6225</v>
      </c>
      <c r="K2079" s="825">
        <v>12272</v>
      </c>
      <c r="L2079" s="826">
        <v>60.722200000000001</v>
      </c>
      <c r="M2079" s="825">
        <f t="shared" ref="M2079:M2094" si="172">+K2079/L2079</f>
        <v>202.10071440099338</v>
      </c>
      <c r="N2079" s="833">
        <v>60</v>
      </c>
      <c r="O2079" s="834">
        <f t="shared" si="168"/>
        <v>204.53333333333333</v>
      </c>
      <c r="P2079" s="835">
        <f t="shared" ca="1" si="170"/>
        <v>6</v>
      </c>
      <c r="Q2079" s="825">
        <f t="shared" ca="1" si="169"/>
        <v>11044.8</v>
      </c>
      <c r="R2079" s="825">
        <f t="shared" ca="1" si="171"/>
        <v>11044.8</v>
      </c>
      <c r="S2079" s="836" t="s">
        <v>6640</v>
      </c>
    </row>
    <row r="2080" spans="2:19" ht="59.25" customHeight="1" x14ac:dyDescent="0.25">
      <c r="B2080" s="858">
        <v>45702</v>
      </c>
      <c r="C2080" s="828">
        <v>45835</v>
      </c>
      <c r="D2080" s="679"/>
      <c r="E2080" s="848" t="s">
        <v>7063</v>
      </c>
      <c r="F2080" s="734" t="s">
        <v>7032</v>
      </c>
      <c r="G2080" s="761" t="s">
        <v>7037</v>
      </c>
      <c r="H2080" s="824" t="s">
        <v>7039</v>
      </c>
      <c r="I2080" s="829" t="s">
        <v>6019</v>
      </c>
      <c r="J2080" s="830" t="s">
        <v>19</v>
      </c>
      <c r="K2080" s="825">
        <v>22483.494999999999</v>
      </c>
      <c r="L2080" s="826">
        <v>61.985900000000001</v>
      </c>
      <c r="M2080" s="825">
        <f t="shared" si="172"/>
        <v>362.71950556497524</v>
      </c>
      <c r="N2080" s="833">
        <v>60</v>
      </c>
      <c r="O2080" s="834">
        <f t="shared" si="168"/>
        <v>374.72491666666667</v>
      </c>
      <c r="P2080" s="835">
        <f t="shared" ca="1" si="170"/>
        <v>5</v>
      </c>
      <c r="Q2080" s="825">
        <f t="shared" ca="1" si="169"/>
        <v>20609.870416666665</v>
      </c>
      <c r="R2080" s="825">
        <f t="shared" ca="1" si="171"/>
        <v>20609.870416666665</v>
      </c>
      <c r="S2080" s="836" t="s">
        <v>6247</v>
      </c>
    </row>
    <row r="2081" spans="2:19" ht="59.25" customHeight="1" x14ac:dyDescent="0.25">
      <c r="B2081" s="858">
        <v>45702</v>
      </c>
      <c r="C2081" s="828">
        <v>45836</v>
      </c>
      <c r="D2081" s="679"/>
      <c r="E2081" s="848" t="s">
        <v>7063</v>
      </c>
      <c r="F2081" s="734" t="s">
        <v>7033</v>
      </c>
      <c r="G2081" s="761" t="s">
        <v>7037</v>
      </c>
      <c r="H2081" s="824" t="s">
        <v>7038</v>
      </c>
      <c r="I2081" s="829" t="s">
        <v>6019</v>
      </c>
      <c r="J2081" s="830" t="s">
        <v>19</v>
      </c>
      <c r="K2081" s="825">
        <v>22483.494999999999</v>
      </c>
      <c r="L2081" s="826">
        <v>61.985900000000001</v>
      </c>
      <c r="M2081" s="825">
        <f t="shared" si="172"/>
        <v>362.71950556497524</v>
      </c>
      <c r="N2081" s="833">
        <v>60</v>
      </c>
      <c r="O2081" s="834">
        <f t="shared" si="168"/>
        <v>374.72491666666667</v>
      </c>
      <c r="P2081" s="835">
        <f t="shared" ca="1" si="170"/>
        <v>5</v>
      </c>
      <c r="Q2081" s="825">
        <f t="shared" ca="1" si="169"/>
        <v>20609.870416666665</v>
      </c>
      <c r="R2081" s="825">
        <f t="shared" ca="1" si="171"/>
        <v>20609.870416666665</v>
      </c>
      <c r="S2081" s="836" t="s">
        <v>6247</v>
      </c>
    </row>
    <row r="2082" spans="2:19" ht="59.25" customHeight="1" x14ac:dyDescent="0.25">
      <c r="B2082" s="858">
        <v>45756</v>
      </c>
      <c r="C2082" s="828">
        <v>45804</v>
      </c>
      <c r="D2082" s="679"/>
      <c r="E2082" s="848" t="s">
        <v>7086</v>
      </c>
      <c r="F2082" s="734" t="s">
        <v>7034</v>
      </c>
      <c r="G2082" s="949" t="s">
        <v>7035</v>
      </c>
      <c r="H2082" s="824" t="s">
        <v>28</v>
      </c>
      <c r="I2082" s="829" t="s">
        <v>6019</v>
      </c>
      <c r="J2082" s="830" t="s">
        <v>7062</v>
      </c>
      <c r="K2082" s="825">
        <v>56500</v>
      </c>
      <c r="L2082" s="826">
        <v>61.565199999999997</v>
      </c>
      <c r="M2082" s="825">
        <f t="shared" si="172"/>
        <v>917.7262479452678</v>
      </c>
      <c r="N2082" s="833">
        <v>60</v>
      </c>
      <c r="O2082" s="834">
        <f t="shared" si="168"/>
        <v>941.66666666666663</v>
      </c>
      <c r="P2082" s="835">
        <f t="shared" ca="1" si="170"/>
        <v>3</v>
      </c>
      <c r="Q2082" s="825">
        <f t="shared" ca="1" si="169"/>
        <v>53675</v>
      </c>
      <c r="R2082" s="825">
        <f t="shared" ca="1" si="171"/>
        <v>53675</v>
      </c>
      <c r="S2082" s="836" t="s">
        <v>7036</v>
      </c>
    </row>
    <row r="2083" spans="2:19" ht="84" customHeight="1" x14ac:dyDescent="0.25">
      <c r="B2083" s="858">
        <v>45803</v>
      </c>
      <c r="C2083" s="828">
        <v>45839</v>
      </c>
      <c r="D2083" s="679"/>
      <c r="E2083" s="848" t="s">
        <v>7064</v>
      </c>
      <c r="F2083" s="734" t="s">
        <v>7065</v>
      </c>
      <c r="G2083" s="949" t="s">
        <v>7080</v>
      </c>
      <c r="H2083" s="824" t="s">
        <v>28</v>
      </c>
      <c r="I2083" s="829" t="s">
        <v>6019</v>
      </c>
      <c r="J2083" s="830" t="s">
        <v>19</v>
      </c>
      <c r="K2083" s="825">
        <v>256792</v>
      </c>
      <c r="L2083" s="826">
        <v>58.806199999999997</v>
      </c>
      <c r="M2083" s="825">
        <f t="shared" si="172"/>
        <v>4366.7504446810035</v>
      </c>
      <c r="N2083" s="833">
        <v>60</v>
      </c>
      <c r="O2083" s="834">
        <f t="shared" si="168"/>
        <v>4279.8666666666668</v>
      </c>
      <c r="P2083" s="835">
        <f t="shared" ca="1" si="170"/>
        <v>2</v>
      </c>
      <c r="Q2083" s="825">
        <f t="shared" ca="1" si="169"/>
        <v>248232.26666666666</v>
      </c>
      <c r="R2083" s="825">
        <f t="shared" ca="1" si="171"/>
        <v>248232.26666666666</v>
      </c>
      <c r="S2083" s="836" t="s">
        <v>7073</v>
      </c>
    </row>
    <row r="2084" spans="2:19" ht="90.75" customHeight="1" x14ac:dyDescent="0.25">
      <c r="B2084" s="858">
        <v>45803</v>
      </c>
      <c r="C2084" s="828">
        <v>45839</v>
      </c>
      <c r="D2084" s="679"/>
      <c r="E2084" s="848" t="s">
        <v>7064</v>
      </c>
      <c r="F2084" s="734" t="s">
        <v>7066</v>
      </c>
      <c r="G2084" s="949" t="s">
        <v>7080</v>
      </c>
      <c r="H2084" s="824" t="s">
        <v>28</v>
      </c>
      <c r="I2084" s="829" t="s">
        <v>6019</v>
      </c>
      <c r="J2084" s="830" t="s">
        <v>19</v>
      </c>
      <c r="K2084" s="825">
        <v>256792</v>
      </c>
      <c r="L2084" s="826">
        <v>58.806199999999997</v>
      </c>
      <c r="M2084" s="825">
        <f t="shared" si="172"/>
        <v>4366.7504446810035</v>
      </c>
      <c r="N2084" s="833">
        <v>60</v>
      </c>
      <c r="O2084" s="834">
        <f t="shared" si="168"/>
        <v>4279.8666666666668</v>
      </c>
      <c r="P2084" s="835">
        <f t="shared" ca="1" si="170"/>
        <v>2</v>
      </c>
      <c r="Q2084" s="825">
        <f t="shared" ca="1" si="169"/>
        <v>248232.26666666666</v>
      </c>
      <c r="R2084" s="825">
        <f t="shared" ca="1" si="171"/>
        <v>248232.26666666666</v>
      </c>
      <c r="S2084" s="836" t="s">
        <v>7073</v>
      </c>
    </row>
    <row r="2085" spans="2:19" ht="59.25" customHeight="1" x14ac:dyDescent="0.25">
      <c r="B2085" s="858">
        <v>45803</v>
      </c>
      <c r="C2085" s="828">
        <v>45839</v>
      </c>
      <c r="D2085" s="679"/>
      <c r="E2085" s="848" t="s">
        <v>7064</v>
      </c>
      <c r="F2085" s="734" t="s">
        <v>7067</v>
      </c>
      <c r="G2085" s="949" t="s">
        <v>7072</v>
      </c>
      <c r="H2085" s="824" t="s">
        <v>28</v>
      </c>
      <c r="I2085" s="829" t="s">
        <v>6019</v>
      </c>
      <c r="J2085" s="830" t="s">
        <v>19</v>
      </c>
      <c r="K2085" s="825">
        <v>7516.4</v>
      </c>
      <c r="L2085" s="826">
        <v>58.806199999999997</v>
      </c>
      <c r="M2085" s="825">
        <f t="shared" si="172"/>
        <v>127.81645472756274</v>
      </c>
      <c r="N2085" s="833">
        <v>60</v>
      </c>
      <c r="O2085" s="834">
        <f t="shared" si="168"/>
        <v>125.27333333333333</v>
      </c>
      <c r="P2085" s="835">
        <f t="shared" ca="1" si="170"/>
        <v>2</v>
      </c>
      <c r="Q2085" s="825">
        <f t="shared" ca="1" si="169"/>
        <v>7265.8533333333326</v>
      </c>
      <c r="R2085" s="825">
        <f t="shared" ca="1" si="171"/>
        <v>7265.8533333333326</v>
      </c>
      <c r="S2085" s="836" t="s">
        <v>7073</v>
      </c>
    </row>
    <row r="2086" spans="2:19" ht="59.25" customHeight="1" x14ac:dyDescent="0.25">
      <c r="B2086" s="858">
        <v>45803</v>
      </c>
      <c r="C2086" s="828">
        <v>45839</v>
      </c>
      <c r="D2086" s="679"/>
      <c r="E2086" s="848" t="s">
        <v>7064</v>
      </c>
      <c r="F2086" s="734" t="s">
        <v>7068</v>
      </c>
      <c r="G2086" s="949" t="s">
        <v>7072</v>
      </c>
      <c r="H2086" s="824" t="s">
        <v>28</v>
      </c>
      <c r="I2086" s="829" t="s">
        <v>6019</v>
      </c>
      <c r="J2086" s="830" t="s">
        <v>19</v>
      </c>
      <c r="K2086" s="825">
        <v>7516.4</v>
      </c>
      <c r="L2086" s="826">
        <v>58.806199999999997</v>
      </c>
      <c r="M2086" s="825">
        <f t="shared" si="172"/>
        <v>127.81645472756274</v>
      </c>
      <c r="N2086" s="833">
        <v>60</v>
      </c>
      <c r="O2086" s="834">
        <f t="shared" si="168"/>
        <v>125.27333333333333</v>
      </c>
      <c r="P2086" s="835">
        <f t="shared" ca="1" si="170"/>
        <v>2</v>
      </c>
      <c r="Q2086" s="825">
        <f t="shared" ca="1" si="169"/>
        <v>7265.8533333333326</v>
      </c>
      <c r="R2086" s="825">
        <f t="shared" ca="1" si="171"/>
        <v>7265.8533333333326</v>
      </c>
      <c r="S2086" s="836" t="s">
        <v>7073</v>
      </c>
    </row>
    <row r="2087" spans="2:19" ht="59.25" customHeight="1" x14ac:dyDescent="0.25">
      <c r="B2087" s="858">
        <v>45803</v>
      </c>
      <c r="C2087" s="828">
        <v>45839</v>
      </c>
      <c r="D2087" s="679"/>
      <c r="E2087" s="848" t="s">
        <v>7064</v>
      </c>
      <c r="F2087" s="734" t="s">
        <v>7069</v>
      </c>
      <c r="G2087" s="949" t="s">
        <v>7072</v>
      </c>
      <c r="H2087" s="824" t="s">
        <v>28</v>
      </c>
      <c r="I2087" s="829" t="s">
        <v>6019</v>
      </c>
      <c r="J2087" s="830" t="s">
        <v>19</v>
      </c>
      <c r="K2087" s="825">
        <v>7516.4</v>
      </c>
      <c r="L2087" s="826">
        <v>58.806199999999997</v>
      </c>
      <c r="M2087" s="825">
        <f t="shared" si="172"/>
        <v>127.81645472756274</v>
      </c>
      <c r="N2087" s="833">
        <v>60</v>
      </c>
      <c r="O2087" s="834">
        <f t="shared" si="168"/>
        <v>125.27333333333333</v>
      </c>
      <c r="P2087" s="835">
        <f t="shared" ca="1" si="170"/>
        <v>2</v>
      </c>
      <c r="Q2087" s="825">
        <f t="shared" ca="1" si="169"/>
        <v>7265.8533333333326</v>
      </c>
      <c r="R2087" s="825">
        <f t="shared" ca="1" si="171"/>
        <v>7265.8533333333326</v>
      </c>
      <c r="S2087" s="836" t="s">
        <v>7073</v>
      </c>
    </row>
    <row r="2088" spans="2:19" ht="59.25" customHeight="1" x14ac:dyDescent="0.25">
      <c r="B2088" s="858">
        <v>45803</v>
      </c>
      <c r="C2088" s="828">
        <v>45839</v>
      </c>
      <c r="D2088" s="679"/>
      <c r="E2088" s="848" t="s">
        <v>7064</v>
      </c>
      <c r="F2088" s="734" t="s">
        <v>7070</v>
      </c>
      <c r="G2088" s="949" t="s">
        <v>7072</v>
      </c>
      <c r="H2088" s="824" t="s">
        <v>28</v>
      </c>
      <c r="I2088" s="829" t="s">
        <v>6019</v>
      </c>
      <c r="J2088" s="830" t="s">
        <v>19</v>
      </c>
      <c r="K2088" s="825">
        <v>7516.4</v>
      </c>
      <c r="L2088" s="826">
        <v>58.806199999999997</v>
      </c>
      <c r="M2088" s="825">
        <f t="shared" si="172"/>
        <v>127.81645472756274</v>
      </c>
      <c r="N2088" s="833">
        <v>60</v>
      </c>
      <c r="O2088" s="834">
        <f t="shared" si="168"/>
        <v>125.27333333333333</v>
      </c>
      <c r="P2088" s="835">
        <f t="shared" ca="1" si="170"/>
        <v>2</v>
      </c>
      <c r="Q2088" s="825">
        <f t="shared" ca="1" si="169"/>
        <v>7265.8533333333326</v>
      </c>
      <c r="R2088" s="825">
        <f t="shared" ca="1" si="171"/>
        <v>7265.8533333333326</v>
      </c>
      <c r="S2088" s="836" t="s">
        <v>7073</v>
      </c>
    </row>
    <row r="2089" spans="2:19" ht="59.25" customHeight="1" x14ac:dyDescent="0.25">
      <c r="B2089" s="858">
        <v>45803</v>
      </c>
      <c r="C2089" s="828">
        <v>45839</v>
      </c>
      <c r="D2089" s="679"/>
      <c r="E2089" s="848" t="s">
        <v>7064</v>
      </c>
      <c r="F2089" s="734" t="s">
        <v>7071</v>
      </c>
      <c r="G2089" s="949" t="s">
        <v>7072</v>
      </c>
      <c r="H2089" s="824" t="s">
        <v>28</v>
      </c>
      <c r="I2089" s="829" t="s">
        <v>6019</v>
      </c>
      <c r="J2089" s="830" t="s">
        <v>19</v>
      </c>
      <c r="K2089" s="825">
        <v>7516.59</v>
      </c>
      <c r="L2089" s="826">
        <v>58.806199999999997</v>
      </c>
      <c r="M2089" s="825">
        <f t="shared" si="172"/>
        <v>127.81968567940116</v>
      </c>
      <c r="N2089" s="833">
        <v>60</v>
      </c>
      <c r="O2089" s="834">
        <f t="shared" si="168"/>
        <v>125.2765</v>
      </c>
      <c r="P2089" s="835">
        <f t="shared" ca="1" si="170"/>
        <v>2</v>
      </c>
      <c r="Q2089" s="825">
        <f t="shared" ca="1" si="169"/>
        <v>7266.0370000000003</v>
      </c>
      <c r="R2089" s="825">
        <f t="shared" ca="1" si="171"/>
        <v>7266.0370000000003</v>
      </c>
      <c r="S2089" s="836" t="s">
        <v>7073</v>
      </c>
    </row>
    <row r="2090" spans="2:19" ht="59.25" customHeight="1" x14ac:dyDescent="0.25">
      <c r="B2090" s="858">
        <v>45825</v>
      </c>
      <c r="C2090" s="828">
        <v>45839</v>
      </c>
      <c r="D2090" s="679"/>
      <c r="E2090" s="848" t="s">
        <v>7074</v>
      </c>
      <c r="F2090" s="734" t="s">
        <v>7075</v>
      </c>
      <c r="G2090" s="949" t="s">
        <v>7081</v>
      </c>
      <c r="H2090" s="824" t="s">
        <v>28</v>
      </c>
      <c r="I2090" s="829" t="s">
        <v>7082</v>
      </c>
      <c r="J2090" s="830" t="s">
        <v>19</v>
      </c>
      <c r="K2090" s="825">
        <v>12938.5</v>
      </c>
      <c r="L2090" s="826">
        <v>59.088299999999997</v>
      </c>
      <c r="M2090" s="825">
        <f t="shared" si="172"/>
        <v>218.96889908831361</v>
      </c>
      <c r="N2090" s="833">
        <v>60</v>
      </c>
      <c r="O2090" s="834">
        <f t="shared" si="168"/>
        <v>215.64166666666668</v>
      </c>
      <c r="P2090" s="835">
        <f t="shared" ca="1" si="170"/>
        <v>1</v>
      </c>
      <c r="Q2090" s="825">
        <f t="shared" ca="1" si="169"/>
        <v>12722.858333333334</v>
      </c>
      <c r="R2090" s="825">
        <f t="shared" ca="1" si="171"/>
        <v>12722.858333333334</v>
      </c>
      <c r="S2090" s="836" t="s">
        <v>790</v>
      </c>
    </row>
    <row r="2091" spans="2:19" ht="59.25" customHeight="1" x14ac:dyDescent="0.25">
      <c r="B2091" s="858">
        <v>45825</v>
      </c>
      <c r="C2091" s="828">
        <v>45839</v>
      </c>
      <c r="D2091" s="679"/>
      <c r="E2091" s="848" t="s">
        <v>7074</v>
      </c>
      <c r="F2091" s="734" t="s">
        <v>7076</v>
      </c>
      <c r="G2091" s="949" t="s">
        <v>7081</v>
      </c>
      <c r="H2091" s="824" t="s">
        <v>28</v>
      </c>
      <c r="I2091" s="829" t="s">
        <v>7082</v>
      </c>
      <c r="J2091" s="830" t="s">
        <v>19</v>
      </c>
      <c r="K2091" s="825">
        <v>12938.5</v>
      </c>
      <c r="L2091" s="826">
        <v>59.088299999999997</v>
      </c>
      <c r="M2091" s="825">
        <f t="shared" si="172"/>
        <v>218.96889908831361</v>
      </c>
      <c r="N2091" s="833">
        <v>60</v>
      </c>
      <c r="O2091" s="834">
        <f t="shared" si="168"/>
        <v>215.64166666666668</v>
      </c>
      <c r="P2091" s="835">
        <f t="shared" ca="1" si="170"/>
        <v>1</v>
      </c>
      <c r="Q2091" s="825">
        <f t="shared" ca="1" si="169"/>
        <v>12722.858333333334</v>
      </c>
      <c r="R2091" s="825">
        <f t="shared" ca="1" si="171"/>
        <v>12722.858333333334</v>
      </c>
      <c r="S2091" s="836" t="s">
        <v>790</v>
      </c>
    </row>
    <row r="2092" spans="2:19" ht="59.25" customHeight="1" x14ac:dyDescent="0.25">
      <c r="B2092" s="858">
        <v>45825</v>
      </c>
      <c r="C2092" s="828">
        <v>45839</v>
      </c>
      <c r="D2092" s="679"/>
      <c r="E2092" s="848" t="s">
        <v>7074</v>
      </c>
      <c r="F2092" s="734" t="s">
        <v>7077</v>
      </c>
      <c r="G2092" s="949" t="s">
        <v>7081</v>
      </c>
      <c r="H2092" s="824" t="s">
        <v>28</v>
      </c>
      <c r="I2092" s="829" t="s">
        <v>7082</v>
      </c>
      <c r="J2092" s="830" t="s">
        <v>19</v>
      </c>
      <c r="K2092" s="825">
        <v>12938.5</v>
      </c>
      <c r="L2092" s="826">
        <v>59.088299999999997</v>
      </c>
      <c r="M2092" s="825">
        <f t="shared" si="172"/>
        <v>218.96889908831361</v>
      </c>
      <c r="N2092" s="833">
        <v>60</v>
      </c>
      <c r="O2092" s="834">
        <f t="shared" si="168"/>
        <v>215.64166666666668</v>
      </c>
      <c r="P2092" s="835">
        <f t="shared" ca="1" si="170"/>
        <v>1</v>
      </c>
      <c r="Q2092" s="825">
        <f t="shared" ca="1" si="169"/>
        <v>12722.858333333334</v>
      </c>
      <c r="R2092" s="825">
        <f t="shared" ca="1" si="171"/>
        <v>12722.858333333334</v>
      </c>
      <c r="S2092" s="836" t="s">
        <v>790</v>
      </c>
    </row>
    <row r="2093" spans="2:19" ht="59.25" customHeight="1" x14ac:dyDescent="0.25">
      <c r="B2093" s="858">
        <v>45825</v>
      </c>
      <c r="C2093" s="828">
        <v>45839</v>
      </c>
      <c r="D2093" s="679"/>
      <c r="E2093" s="848" t="s">
        <v>7074</v>
      </c>
      <c r="F2093" s="734" t="s">
        <v>7078</v>
      </c>
      <c r="G2093" s="949" t="s">
        <v>7081</v>
      </c>
      <c r="H2093" s="824" t="s">
        <v>28</v>
      </c>
      <c r="I2093" s="829" t="s">
        <v>7082</v>
      </c>
      <c r="J2093" s="830" t="s">
        <v>19</v>
      </c>
      <c r="K2093" s="825">
        <v>12938.5</v>
      </c>
      <c r="L2093" s="826">
        <v>59.088299999999997</v>
      </c>
      <c r="M2093" s="825">
        <f t="shared" si="172"/>
        <v>218.96889908831361</v>
      </c>
      <c r="N2093" s="833">
        <v>60</v>
      </c>
      <c r="O2093" s="834">
        <f t="shared" si="168"/>
        <v>215.64166666666668</v>
      </c>
      <c r="P2093" s="835">
        <f t="shared" ca="1" si="170"/>
        <v>1</v>
      </c>
      <c r="Q2093" s="825">
        <f t="shared" ca="1" si="169"/>
        <v>12722.858333333334</v>
      </c>
      <c r="R2093" s="825">
        <f t="shared" ca="1" si="171"/>
        <v>12722.858333333334</v>
      </c>
      <c r="S2093" s="836" t="s">
        <v>790</v>
      </c>
    </row>
    <row r="2094" spans="2:19" ht="59.25" customHeight="1" x14ac:dyDescent="0.25">
      <c r="B2094" s="858">
        <v>45825</v>
      </c>
      <c r="C2094" s="828">
        <v>45839</v>
      </c>
      <c r="D2094" s="679"/>
      <c r="E2094" s="520" t="s">
        <v>7074</v>
      </c>
      <c r="F2094" s="734" t="s">
        <v>7079</v>
      </c>
      <c r="G2094" s="949" t="s">
        <v>7081</v>
      </c>
      <c r="H2094" s="824" t="s">
        <v>28</v>
      </c>
      <c r="I2094" s="829" t="s">
        <v>7082</v>
      </c>
      <c r="J2094" s="830" t="s">
        <v>19</v>
      </c>
      <c r="K2094" s="825">
        <v>12939.5</v>
      </c>
      <c r="L2094" s="826">
        <v>59.088299999999997</v>
      </c>
      <c r="M2094" s="825">
        <f t="shared" si="172"/>
        <v>218.9858229124886</v>
      </c>
      <c r="N2094" s="833">
        <v>60</v>
      </c>
      <c r="O2094" s="834">
        <f t="shared" si="168"/>
        <v>215.65833333333333</v>
      </c>
      <c r="P2094" s="835">
        <f t="shared" ca="1" si="170"/>
        <v>1</v>
      </c>
      <c r="Q2094" s="825">
        <f t="shared" ca="1" si="169"/>
        <v>12723.841666666667</v>
      </c>
      <c r="R2094" s="825">
        <f t="shared" ca="1" si="171"/>
        <v>12723.841666666667</v>
      </c>
      <c r="S2094" s="836" t="s">
        <v>790</v>
      </c>
    </row>
    <row r="2095" spans="2:19" ht="5.25" customHeight="1" x14ac:dyDescent="0.25">
      <c r="C2095" s="786"/>
      <c r="D2095" s="679"/>
      <c r="E2095" s="777"/>
      <c r="F2095" s="517"/>
      <c r="G2095" s="782"/>
      <c r="H2095" s="750"/>
      <c r="I2095" s="779"/>
      <c r="J2095" s="779"/>
      <c r="K2095" s="778"/>
      <c r="L2095" s="780"/>
      <c r="M2095" s="778"/>
      <c r="N2095" s="789"/>
      <c r="O2095" s="788"/>
      <c r="P2095" s="790"/>
      <c r="Q2095" s="915">
        <f t="shared" si="169"/>
        <v>0</v>
      </c>
      <c r="R2095" s="778"/>
      <c r="S2095" s="787"/>
    </row>
    <row r="2096" spans="2:19" ht="33.75" customHeight="1" thickBot="1" x14ac:dyDescent="0.3">
      <c r="C2096" s="679"/>
      <c r="D2096" s="679"/>
      <c r="F2096" s="517"/>
      <c r="G2096" s="970" t="s">
        <v>2332</v>
      </c>
      <c r="H2096" s="970"/>
      <c r="I2096" s="970"/>
      <c r="J2096" s="970"/>
      <c r="K2096" s="380">
        <f>SUBTOTAL(9,K8:K2094)</f>
        <v>93883680.268588468</v>
      </c>
      <c r="L2096" s="381"/>
      <c r="M2096" s="380">
        <f>SUM(M8:M2094)</f>
        <v>1866144.3733606669</v>
      </c>
      <c r="N2096" s="382"/>
      <c r="O2096" s="406"/>
      <c r="P2096" s="383"/>
      <c r="Q2096" s="380">
        <f ca="1">SUM(Q8:Q2094)</f>
        <v>-1345890.1219511738</v>
      </c>
      <c r="R2096" s="380">
        <f ca="1">SUM(R8:R2094)</f>
        <v>37025081.848782934</v>
      </c>
    </row>
    <row r="2097" spans="2:18" ht="33.75" customHeight="1" thickTop="1" x14ac:dyDescent="0.25">
      <c r="C2097" s="679"/>
      <c r="D2097" s="679"/>
      <c r="F2097" s="517"/>
      <c r="G2097" s="750"/>
      <c r="H2097" s="750"/>
      <c r="I2097" s="750"/>
      <c r="J2097" s="750"/>
      <c r="K2097" s="751"/>
      <c r="L2097" s="381"/>
      <c r="M2097" s="751"/>
      <c r="N2097" s="382"/>
      <c r="O2097" s="406"/>
      <c r="P2097" s="383"/>
      <c r="Q2097" s="751"/>
      <c r="R2097" s="751"/>
    </row>
    <row r="2098" spans="2:18" ht="33.75" customHeight="1" x14ac:dyDescent="0.25">
      <c r="C2098" s="679"/>
      <c r="D2098" s="679"/>
      <c r="F2098" s="517"/>
      <c r="G2098" s="750"/>
      <c r="H2098" s="750"/>
      <c r="I2098" s="750"/>
      <c r="J2098" s="750"/>
      <c r="K2098" s="751"/>
      <c r="L2098" s="381"/>
      <c r="M2098" s="751"/>
      <c r="N2098" s="382"/>
      <c r="O2098" s="406"/>
      <c r="P2098" s="383"/>
      <c r="Q2098" s="751"/>
      <c r="R2098" s="751"/>
    </row>
    <row r="2099" spans="2:18" ht="33.75" customHeight="1" x14ac:dyDescent="0.25">
      <c r="C2099" s="679"/>
      <c r="D2099" s="679"/>
      <c r="F2099" s="517"/>
      <c r="G2099" s="750"/>
      <c r="H2099" s="750"/>
      <c r="I2099" s="750"/>
      <c r="J2099" s="750"/>
      <c r="K2099" s="751"/>
      <c r="L2099" s="381"/>
      <c r="M2099" s="751"/>
      <c r="N2099" s="382"/>
      <c r="O2099" s="406"/>
      <c r="P2099" s="383"/>
      <c r="Q2099" s="751"/>
      <c r="R2099" s="751"/>
    </row>
    <row r="2100" spans="2:18" ht="33.75" customHeight="1" x14ac:dyDescent="0.25">
      <c r="C2100" s="679"/>
      <c r="D2100" s="679"/>
      <c r="F2100" s="517"/>
      <c r="G2100" s="750"/>
      <c r="H2100" s="750"/>
      <c r="I2100" s="750"/>
      <c r="J2100" s="750"/>
      <c r="K2100" s="751"/>
      <c r="L2100" s="381"/>
      <c r="M2100" s="751"/>
      <c r="N2100" s="382"/>
      <c r="O2100" s="406"/>
      <c r="P2100" s="383"/>
      <c r="Q2100" s="751"/>
      <c r="R2100" s="751"/>
    </row>
    <row r="2101" spans="2:18" ht="33.75" customHeight="1" x14ac:dyDescent="0.25">
      <c r="C2101" s="679"/>
      <c r="D2101" s="679"/>
      <c r="F2101" s="517"/>
      <c r="G2101" s="750"/>
      <c r="H2101" s="750"/>
      <c r="I2101" s="750"/>
      <c r="J2101" s="750"/>
      <c r="K2101" s="751"/>
      <c r="L2101" s="381"/>
      <c r="M2101" s="751"/>
      <c r="N2101" s="382"/>
      <c r="O2101" s="406"/>
      <c r="P2101" s="383"/>
      <c r="Q2101" s="751"/>
      <c r="R2101" s="751"/>
    </row>
    <row r="2102" spans="2:18" ht="33.75" customHeight="1" x14ac:dyDescent="0.25">
      <c r="C2102" s="679"/>
      <c r="D2102" s="679"/>
      <c r="F2102" s="517"/>
      <c r="G2102" s="750"/>
      <c r="H2102" s="750"/>
      <c r="I2102" s="750"/>
      <c r="J2102" s="750"/>
      <c r="K2102" s="751"/>
      <c r="L2102" s="381"/>
      <c r="M2102" s="751"/>
      <c r="N2102" s="382"/>
      <c r="O2102" s="406"/>
      <c r="P2102" s="383"/>
      <c r="Q2102" s="751"/>
      <c r="R2102" s="751"/>
    </row>
    <row r="2103" spans="2:18" ht="33.75" customHeight="1" x14ac:dyDescent="0.25">
      <c r="C2103" s="679"/>
      <c r="D2103" s="679"/>
      <c r="F2103" s="517"/>
      <c r="G2103" s="750"/>
      <c r="H2103" s="750"/>
      <c r="I2103" s="750"/>
      <c r="J2103" s="750"/>
      <c r="K2103" s="751"/>
      <c r="L2103" s="381"/>
      <c r="M2103" s="751"/>
      <c r="N2103" s="382"/>
      <c r="O2103" s="406"/>
      <c r="P2103" s="383"/>
      <c r="Q2103" s="751"/>
      <c r="R2103" s="751"/>
    </row>
    <row r="2104" spans="2:18" ht="33.75" customHeight="1" x14ac:dyDescent="0.25">
      <c r="C2104" s="679"/>
      <c r="D2104" s="679"/>
      <c r="F2104" s="517"/>
      <c r="G2104" s="750"/>
      <c r="H2104" s="750"/>
      <c r="I2104" s="750"/>
      <c r="J2104" s="750"/>
      <c r="K2104" s="751"/>
      <c r="L2104" s="381"/>
      <c r="M2104" s="751"/>
      <c r="N2104" s="382"/>
      <c r="O2104" s="406"/>
      <c r="P2104" s="383"/>
      <c r="Q2104" s="751"/>
      <c r="R2104" s="751"/>
    </row>
    <row r="2105" spans="2:18" ht="33.75" customHeight="1" x14ac:dyDescent="0.25">
      <c r="C2105" s="679"/>
      <c r="D2105" s="679"/>
      <c r="F2105" s="517"/>
      <c r="G2105" s="750"/>
      <c r="H2105" s="750"/>
      <c r="I2105" s="750"/>
      <c r="J2105" s="750"/>
      <c r="K2105" s="751"/>
      <c r="L2105" s="381"/>
      <c r="M2105" s="751"/>
      <c r="N2105" s="382"/>
      <c r="O2105" s="406"/>
      <c r="P2105" s="383"/>
      <c r="Q2105" s="751"/>
      <c r="R2105" s="751"/>
    </row>
    <row r="2106" spans="2:18" ht="33.75" customHeight="1" x14ac:dyDescent="0.25">
      <c r="C2106" s="679"/>
      <c r="D2106" s="679"/>
      <c r="F2106" s="517"/>
      <c r="G2106" s="750"/>
      <c r="H2106" s="750"/>
      <c r="I2106" s="750"/>
      <c r="J2106" s="750"/>
      <c r="K2106" s="751"/>
      <c r="L2106" s="381"/>
      <c r="M2106" s="751"/>
      <c r="N2106" s="382"/>
      <c r="O2106" s="406"/>
      <c r="P2106" s="383"/>
      <c r="Q2106" s="751"/>
      <c r="R2106" s="751"/>
    </row>
    <row r="2107" spans="2:18" ht="33.75" customHeight="1" thickBot="1" x14ac:dyDescent="0.3">
      <c r="C2107" s="679"/>
      <c r="D2107" s="679"/>
      <c r="F2107" s="517"/>
      <c r="G2107" s="750"/>
      <c r="H2107" s="750"/>
      <c r="I2107" s="750"/>
      <c r="J2107" s="750"/>
      <c r="K2107" s="751"/>
      <c r="L2107" s="381"/>
      <c r="M2107" s="751"/>
      <c r="N2107" s="382"/>
      <c r="O2107" s="406"/>
      <c r="P2107" s="383"/>
      <c r="Q2107" s="752"/>
      <c r="R2107" s="751"/>
    </row>
    <row r="2108" spans="2:18" ht="15.75" thickBot="1" x14ac:dyDescent="0.3">
      <c r="B2108" s="866"/>
      <c r="C2108" s="420"/>
      <c r="D2108" s="420"/>
      <c r="E2108" s="367"/>
      <c r="F2108" s="367"/>
      <c r="G2108" s="972" t="s">
        <v>2333</v>
      </c>
      <c r="H2108" s="973"/>
      <c r="I2108" s="974"/>
    </row>
    <row r="2109" spans="2:18" ht="39.75" thickBot="1" x14ac:dyDescent="0.3">
      <c r="B2109" s="866"/>
      <c r="C2109" s="420"/>
      <c r="D2109" s="420"/>
      <c r="E2109" s="367"/>
      <c r="F2109" s="367"/>
      <c r="G2109" s="762"/>
      <c r="H2109" s="653" t="s">
        <v>2334</v>
      </c>
      <c r="I2109" s="653" t="s">
        <v>2335</v>
      </c>
    </row>
    <row r="2110" spans="2:18" ht="15.75" thickBot="1" x14ac:dyDescent="0.3">
      <c r="B2110" s="866"/>
      <c r="C2110" s="420"/>
      <c r="D2110" s="420"/>
      <c r="E2110" s="367"/>
      <c r="F2110" s="367"/>
      <c r="G2110" s="763" t="s">
        <v>2336</v>
      </c>
      <c r="H2110" s="950">
        <f>SUM(K8:K11)</f>
        <v>18220.800000000003</v>
      </c>
      <c r="I2110" s="951">
        <f>SUM(M8:M11)</f>
        <v>611.72509424028647</v>
      </c>
      <c r="J2110" s="370"/>
    </row>
    <row r="2111" spans="2:18" ht="15.75" thickBot="1" x14ac:dyDescent="0.3">
      <c r="B2111" s="866"/>
      <c r="C2111" s="420"/>
      <c r="D2111" s="420"/>
      <c r="E2111" s="367"/>
      <c r="F2111" s="371"/>
      <c r="G2111" s="764" t="s">
        <v>2337</v>
      </c>
      <c r="H2111" s="952">
        <f>SUM(K12:K119)</f>
        <v>5552247.0519999862</v>
      </c>
      <c r="I2111" s="953">
        <f>SUM(M12:M119)</f>
        <v>163950.64475411124</v>
      </c>
      <c r="J2111" s="370"/>
    </row>
    <row r="2112" spans="2:18" ht="15.75" thickBot="1" x14ac:dyDescent="0.3">
      <c r="G2112" s="765" t="s">
        <v>2338</v>
      </c>
      <c r="H2112" s="954">
        <f>SUM(K120:K128)</f>
        <v>105369.2</v>
      </c>
      <c r="I2112" s="953">
        <f>SUM(M120:M128)</f>
        <v>3221.0804765340858</v>
      </c>
      <c r="J2112" s="370"/>
    </row>
    <row r="2113" spans="2:19" ht="15.75" thickBot="1" x14ac:dyDescent="0.3">
      <c r="G2113" s="766" t="s">
        <v>2339</v>
      </c>
      <c r="H2113" s="955">
        <f>SUM(K129:K213)</f>
        <v>1181882.22</v>
      </c>
      <c r="I2113" s="953">
        <f>SUM(M129:M213)</f>
        <v>34602.706800274143</v>
      </c>
    </row>
    <row r="2114" spans="2:19" ht="16.5" thickBot="1" x14ac:dyDescent="0.3">
      <c r="G2114" s="765" t="s">
        <v>2340</v>
      </c>
      <c r="H2114" s="956">
        <f>SUM(K214:K405)</f>
        <v>1407128.2409848254</v>
      </c>
      <c r="I2114" s="957">
        <f>SUM(M214:M405)</f>
        <v>39190.207552238353</v>
      </c>
      <c r="J2114" s="642" t="s">
        <v>6389</v>
      </c>
      <c r="K2114" s="643"/>
    </row>
    <row r="2115" spans="2:19" ht="16.5" thickBot="1" x14ac:dyDescent="0.3">
      <c r="B2115" s="867"/>
      <c r="C2115" s="421"/>
      <c r="D2115" s="421"/>
      <c r="E2115" s="109"/>
      <c r="G2115" s="766" t="s">
        <v>2341</v>
      </c>
      <c r="H2115" s="958">
        <f>SUM(K406:K435)</f>
        <v>2089134.0800000001</v>
      </c>
      <c r="I2115" s="957">
        <f>SUM(M406:M435)</f>
        <v>56788.106978074225</v>
      </c>
      <c r="J2115" s="644"/>
      <c r="K2115" s="644"/>
    </row>
    <row r="2116" spans="2:19" ht="16.5" thickBot="1" x14ac:dyDescent="0.3">
      <c r="B2116" s="867"/>
      <c r="C2116" s="421"/>
      <c r="D2116" s="421"/>
      <c r="G2116" s="766" t="s">
        <v>2342</v>
      </c>
      <c r="H2116" s="959">
        <f>SUM(K436:K456)</f>
        <v>3941417.079403</v>
      </c>
      <c r="I2116" s="960">
        <f>SUM(M436:M456)</f>
        <v>103791.31575681352</v>
      </c>
      <c r="J2116" s="644"/>
      <c r="K2116" s="644"/>
    </row>
    <row r="2117" spans="2:19" ht="16.5" thickBot="1" x14ac:dyDescent="0.3">
      <c r="G2117" s="767" t="s">
        <v>2343</v>
      </c>
      <c r="H2117" s="959">
        <f>SUM(K457:K477)</f>
        <v>524953.29</v>
      </c>
      <c r="I2117" s="953">
        <f>SUM(M457:M477)</f>
        <v>13452.886245446449</v>
      </c>
      <c r="J2117" s="645" t="s">
        <v>4869</v>
      </c>
      <c r="K2117" s="646"/>
      <c r="L2117" s="107"/>
      <c r="M2117" s="107"/>
      <c r="N2117" s="384"/>
      <c r="O2117" s="384"/>
      <c r="P2117" s="107"/>
      <c r="Q2117" s="97"/>
      <c r="S2117" s="68"/>
    </row>
    <row r="2118" spans="2:19" ht="16.5" thickBot="1" x14ac:dyDescent="0.3">
      <c r="G2118" s="766" t="s">
        <v>2344</v>
      </c>
      <c r="H2118" s="959">
        <f>SUM(K478:K551)</f>
        <v>3433505.2700000033</v>
      </c>
      <c r="I2118" s="953">
        <f>SUM(M478:M551)</f>
        <v>82851.562007480417</v>
      </c>
      <c r="J2118" s="647"/>
      <c r="K2118" s="648" t="s">
        <v>2345</v>
      </c>
      <c r="L2118" s="385"/>
      <c r="M2118" s="385"/>
    </row>
    <row r="2119" spans="2:19" ht="16.5" thickBot="1" x14ac:dyDescent="0.3">
      <c r="G2119" s="766" t="s">
        <v>2346</v>
      </c>
      <c r="H2119" s="959">
        <f>SUM(K552:K571)</f>
        <v>106689.03</v>
      </c>
      <c r="I2119" s="953">
        <f>SUM(M552:M571)</f>
        <v>2471.5889853687036</v>
      </c>
      <c r="J2119" s="649"/>
      <c r="K2119" s="644"/>
    </row>
    <row r="2120" spans="2:19" ht="16.5" thickBot="1" x14ac:dyDescent="0.3">
      <c r="G2120" s="766" t="s">
        <v>2347</v>
      </c>
      <c r="H2120" s="959">
        <f>SUM(K572:K642)</f>
        <v>8391675.6199999992</v>
      </c>
      <c r="I2120" s="953">
        <f>SUM(M572:M642)</f>
        <v>187267.41251758867</v>
      </c>
      <c r="J2120" s="650" t="s">
        <v>4870</v>
      </c>
      <c r="K2120" s="647"/>
    </row>
    <row r="2121" spans="2:19" ht="16.5" thickBot="1" x14ac:dyDescent="0.3">
      <c r="G2121" s="766" t="s">
        <v>2348</v>
      </c>
      <c r="H2121" s="961" t="s">
        <v>2349</v>
      </c>
      <c r="I2121" s="962" t="s">
        <v>2349</v>
      </c>
      <c r="J2121" s="651" t="s">
        <v>2350</v>
      </c>
      <c r="K2121" s="644"/>
    </row>
    <row r="2122" spans="2:19" ht="16.5" thickBot="1" x14ac:dyDescent="0.3">
      <c r="G2122" s="766" t="s">
        <v>2351</v>
      </c>
      <c r="H2122" s="963">
        <f>SUM(K643:K669)</f>
        <v>1016951.5800000003</v>
      </c>
      <c r="I2122" s="958">
        <f>SUM(M643:M669)</f>
        <v>21458.984270990502</v>
      </c>
      <c r="J2122" s="652"/>
      <c r="K2122" s="644"/>
    </row>
    <row r="2123" spans="2:19" ht="16.5" thickBot="1" x14ac:dyDescent="0.3">
      <c r="G2123" s="766" t="s">
        <v>2352</v>
      </c>
      <c r="H2123" s="959">
        <f>SUM(K670:K784)</f>
        <v>3594181.8900000006</v>
      </c>
      <c r="I2123" s="963">
        <f>SUM(M670:M784)</f>
        <v>71696.795949754916</v>
      </c>
      <c r="J2123" s="650" t="s">
        <v>6571</v>
      </c>
      <c r="N2123" s="651"/>
    </row>
    <row r="2124" spans="2:19" ht="16.5" thickBot="1" x14ac:dyDescent="0.3">
      <c r="G2124" s="766" t="s">
        <v>2353</v>
      </c>
      <c r="H2124" s="959">
        <f>SUM(K785:K817)</f>
        <v>2519434</v>
      </c>
      <c r="I2124" s="963">
        <f>SUM(M785:M817)</f>
        <v>49478.6266180155</v>
      </c>
      <c r="J2124" s="840" t="s">
        <v>6570</v>
      </c>
      <c r="K2124" s="731"/>
      <c r="L2124" s="107"/>
      <c r="M2124" s="107"/>
      <c r="N2124" s="107"/>
      <c r="O2124" s="97"/>
      <c r="P2124" s="68"/>
    </row>
    <row r="2125" spans="2:19" ht="16.5" thickBot="1" x14ac:dyDescent="0.3">
      <c r="G2125" s="768" t="s">
        <v>2354</v>
      </c>
      <c r="H2125" s="959">
        <f>SUM(K818:K843)</f>
        <v>638478.49</v>
      </c>
      <c r="I2125" s="959">
        <f>SUM(M818:M843)</f>
        <v>11683.490206294606</v>
      </c>
      <c r="J2125" s="840" t="s">
        <v>5840</v>
      </c>
      <c r="K2125" s="732"/>
    </row>
    <row r="2126" spans="2:19" ht="15.75" thickBot="1" x14ac:dyDescent="0.3">
      <c r="G2126" s="766" t="s">
        <v>2355</v>
      </c>
      <c r="H2126" s="959">
        <f>SUM(K844:K845)</f>
        <v>6371099.2000000002</v>
      </c>
      <c r="I2126" s="958">
        <f>SUM(M844:M845)</f>
        <v>112823.32295018389</v>
      </c>
      <c r="J2126" s="370"/>
    </row>
    <row r="2127" spans="2:19" ht="21" customHeight="1" thickBot="1" x14ac:dyDescent="0.3">
      <c r="G2127" s="766" t="s">
        <v>2356</v>
      </c>
      <c r="H2127" s="963">
        <f>SUM(K846:K1156)</f>
        <v>9894918.3499999736</v>
      </c>
      <c r="I2127" s="963">
        <f>SUM(M846:M1156)</f>
        <v>182075.6189094838</v>
      </c>
      <c r="J2127" s="370"/>
    </row>
    <row r="2128" spans="2:19" ht="21" customHeight="1" thickBot="1" x14ac:dyDescent="0.3">
      <c r="G2128" s="769" t="s">
        <v>4317</v>
      </c>
      <c r="H2128" s="964">
        <f>SUM(K1157:K1297)</f>
        <v>15427990.436199998</v>
      </c>
      <c r="I2128" s="964">
        <f>SUM(M1157:M1297)</f>
        <v>275581.48890751455</v>
      </c>
    </row>
    <row r="2129" spans="2:16" ht="21" customHeight="1" thickBot="1" x14ac:dyDescent="0.3">
      <c r="G2129" s="769" t="s">
        <v>4882</v>
      </c>
      <c r="H2129" s="965">
        <f>SUM(K1298:K1852)</f>
        <v>20874601.299999841</v>
      </c>
      <c r="I2129" s="964">
        <f>SUM(M1298:M1852)</f>
        <v>340966.09804534185</v>
      </c>
    </row>
    <row r="2130" spans="2:16" ht="21" customHeight="1" thickBot="1" x14ac:dyDescent="0.3">
      <c r="G2130" s="769" t="s">
        <v>7087</v>
      </c>
      <c r="H2130" s="964">
        <f>SUM(K1853:K2094)</f>
        <v>6793803.139999995</v>
      </c>
      <c r="I2130" s="964">
        <f>SUM(M1853:M2094)</f>
        <v>112180.71033490848</v>
      </c>
    </row>
    <row r="2131" spans="2:16" ht="21.75" customHeight="1" thickBot="1" x14ac:dyDescent="0.3">
      <c r="G2131" s="770" t="s">
        <v>2357</v>
      </c>
      <c r="H2131" s="966">
        <f>SUM(H2110:H2130)</f>
        <v>93883680.268587634</v>
      </c>
      <c r="I2131" s="967">
        <f>SUM(I2110:I2130)</f>
        <v>1866144.3733606583</v>
      </c>
      <c r="J2131" s="370"/>
    </row>
    <row r="2132" spans="2:16" x14ac:dyDescent="0.25">
      <c r="G2132" s="771"/>
      <c r="H2132" s="372"/>
      <c r="I2132" s="372"/>
    </row>
    <row r="2133" spans="2:16" x14ac:dyDescent="0.25">
      <c r="L2133" s="345"/>
    </row>
    <row r="2134" spans="2:16" x14ac:dyDescent="0.25">
      <c r="L2134" s="345"/>
    </row>
    <row r="2135" spans="2:16" x14ac:dyDescent="0.25">
      <c r="L2135" s="345"/>
    </row>
    <row r="2136" spans="2:16" x14ac:dyDescent="0.25">
      <c r="L2136" s="345"/>
    </row>
    <row r="2137" spans="2:16" x14ac:dyDescent="0.25">
      <c r="L2137" s="345"/>
    </row>
    <row r="2138" spans="2:16" x14ac:dyDescent="0.25">
      <c r="L2138" s="345"/>
    </row>
    <row r="2139" spans="2:16" x14ac:dyDescent="0.25">
      <c r="L2139" s="345"/>
    </row>
    <row r="2140" spans="2:16" x14ac:dyDescent="0.25">
      <c r="L2140" s="345"/>
    </row>
    <row r="2142" spans="2:16" x14ac:dyDescent="0.25">
      <c r="B2142" s="422" t="s">
        <v>4867</v>
      </c>
      <c r="C2142" s="422"/>
      <c r="D2142" s="422"/>
      <c r="M2142" t="s">
        <v>4874</v>
      </c>
      <c r="P2142" s="509" t="s">
        <v>4873</v>
      </c>
    </row>
    <row r="2144" spans="2:16" x14ac:dyDescent="0.25">
      <c r="B2144" s="868" t="s">
        <v>2358</v>
      </c>
      <c r="C2144" s="423"/>
      <c r="D2144" s="423"/>
      <c r="G2144" s="975" t="s">
        <v>2359</v>
      </c>
      <c r="H2144" s="976"/>
      <c r="K2144" s="977" t="s">
        <v>2360</v>
      </c>
      <c r="L2144" s="977"/>
      <c r="M2144" s="977"/>
      <c r="N2144" s="977"/>
      <c r="O2144" s="128"/>
      <c r="P2144" s="128"/>
    </row>
    <row r="2145" spans="2:18" x14ac:dyDescent="0.25">
      <c r="B2145" s="424"/>
      <c r="C2145" s="424"/>
      <c r="D2145" s="424"/>
      <c r="G2145" s="772"/>
      <c r="H2145" s="373"/>
      <c r="M2145" s="120"/>
      <c r="N2145" s="120"/>
      <c r="O2145" s="120"/>
      <c r="P2145" s="120"/>
    </row>
    <row r="2146" spans="2:18" x14ac:dyDescent="0.25">
      <c r="G2146" s="773"/>
      <c r="M2146" s="120"/>
      <c r="N2146" s="120"/>
      <c r="O2146" s="120"/>
      <c r="P2146" s="120"/>
    </row>
    <row r="2147" spans="2:18" x14ac:dyDescent="0.25">
      <c r="B2147" s="425" t="s">
        <v>2361</v>
      </c>
      <c r="C2147" s="425"/>
      <c r="D2147" s="425"/>
      <c r="G2147" s="774" t="s">
        <v>2362</v>
      </c>
    </row>
    <row r="2148" spans="2:18" x14ac:dyDescent="0.25">
      <c r="B2148" s="869" t="s">
        <v>4880</v>
      </c>
      <c r="F2148" s="376"/>
      <c r="G2148" s="775" t="s">
        <v>4878</v>
      </c>
      <c r="I2148" s="664" t="s">
        <v>2363</v>
      </c>
      <c r="J2148" s="321"/>
      <c r="K2148" s="667" t="s">
        <v>5841</v>
      </c>
      <c r="L2148" s="667"/>
      <c r="M2148" s="669" t="s">
        <v>4871</v>
      </c>
      <c r="N2148" s="666"/>
      <c r="Q2148" s="666"/>
      <c r="R2148" s="666"/>
    </row>
    <row r="2149" spans="2:18" ht="16.5" customHeight="1" x14ac:dyDescent="0.25">
      <c r="B2149" s="870" t="s">
        <v>4881</v>
      </c>
      <c r="F2149" s="377"/>
      <c r="G2149" s="776" t="s">
        <v>4879</v>
      </c>
      <c r="I2149" s="971" t="s">
        <v>2364</v>
      </c>
      <c r="J2149" s="971"/>
      <c r="K2149" s="702" t="s">
        <v>2645</v>
      </c>
      <c r="L2149" s="668"/>
      <c r="M2149" s="704" t="s">
        <v>4872</v>
      </c>
      <c r="N2149" s="657"/>
      <c r="Q2149" s="657"/>
      <c r="R2149" s="657"/>
    </row>
    <row r="2150" spans="2:18" ht="15.75" customHeight="1" x14ac:dyDescent="0.25">
      <c r="B2150" s="871" t="s">
        <v>6387</v>
      </c>
      <c r="C2150" s="423"/>
      <c r="D2150" s="423"/>
      <c r="E2150" s="378"/>
      <c r="I2150" s="379"/>
      <c r="J2150" s="379"/>
      <c r="K2150" s="379"/>
    </row>
    <row r="2153" spans="2:18" x14ac:dyDescent="0.25">
      <c r="B2153" s="422" t="s">
        <v>4868</v>
      </c>
      <c r="C2153" s="422"/>
      <c r="D2153" s="422"/>
      <c r="M2153" t="s">
        <v>4866</v>
      </c>
    </row>
    <row r="2161" spans="9:19" x14ac:dyDescent="0.25">
      <c r="I2161" s="426"/>
      <c r="J2161" s="375"/>
      <c r="K2161" s="1"/>
      <c r="L2161" s="1"/>
      <c r="M2161" s="1"/>
      <c r="N2161" s="82"/>
    </row>
    <row r="2162" spans="9:19" x14ac:dyDescent="0.25">
      <c r="I2162" s="427"/>
      <c r="J2162" s="377"/>
      <c r="K2162" s="1"/>
      <c r="L2162" s="1"/>
      <c r="M2162" s="1"/>
      <c r="N2162" s="82"/>
    </row>
    <row r="2163" spans="9:19" x14ac:dyDescent="0.25">
      <c r="K2163" s="663"/>
      <c r="L2163" s="1"/>
      <c r="M2163" s="1"/>
      <c r="N2163" s="82"/>
    </row>
    <row r="2164" spans="9:19" x14ac:dyDescent="0.25">
      <c r="P2164"/>
      <c r="Q2164" s="324"/>
      <c r="R2164" s="511"/>
      <c r="S2164" s="509"/>
    </row>
  </sheetData>
  <dataConsolidate link="1"/>
  <mergeCells count="5">
    <mergeCell ref="G2096:J2096"/>
    <mergeCell ref="I2149:J2149"/>
    <mergeCell ref="G2108:I2108"/>
    <mergeCell ref="G2144:H2144"/>
    <mergeCell ref="K2144:N2144"/>
  </mergeCells>
  <phoneticPr fontId="1" type="noConversion"/>
  <pageMargins left="0.51181102362204722" right="0.31496062992125984" top="0.74803149606299213" bottom="0.74803149606299213" header="0.31496062992125984" footer="0.31496062992125984"/>
  <pageSetup scale="45" orientation="landscape" r:id="rId1"/>
  <headerFooter>
    <oddFooter>&amp;CPág. &amp;P- -&amp; 106</oddFooter>
  </headerFooter>
  <rowBreaks count="72" manualBreakCount="72">
    <brk id="20" min="1" max="17" man="1"/>
    <brk id="35" min="1" max="17" man="1"/>
    <brk id="48" min="1" max="17" man="1"/>
    <brk id="65" max="16383" man="1"/>
    <brk id="80" min="1" max="17" man="1"/>
    <brk id="102" min="1" max="17" man="1"/>
    <brk id="122" min="1" max="17" man="1"/>
    <brk id="145" min="1" max="17" man="1"/>
    <brk id="163" min="1" max="17" man="1"/>
    <brk id="182" min="1" max="17" man="1"/>
    <brk id="205" min="1" max="17" man="1"/>
    <brk id="225" min="1" max="17" man="1"/>
    <brk id="248" min="1" max="17" man="1"/>
    <brk id="269" min="1" max="17" man="1"/>
    <brk id="287" min="1" max="17" man="1"/>
    <brk id="306" min="1" max="17" man="1"/>
    <brk id="329" min="1" max="17" man="1"/>
    <brk id="350" min="1" max="17" man="1"/>
    <brk id="369" min="1" max="17" man="1"/>
    <brk id="391" min="1" max="17" man="1"/>
    <brk id="408" min="1" max="17" man="1"/>
    <brk id="429" min="1" max="17" man="1"/>
    <brk id="449" min="1" max="17" man="1"/>
    <brk id="465" min="1" max="17" man="1"/>
    <brk id="485" min="1" max="17" man="1"/>
    <brk id="508" min="1" max="17" man="1"/>
    <brk id="531" min="1" max="17" man="1"/>
    <brk id="550" min="1" max="17" man="1"/>
    <brk id="567" min="1" max="17" man="1"/>
    <brk id="583" min="1" max="17" man="1"/>
    <brk id="600" min="1" max="17" man="1"/>
    <brk id="617" min="1" max="17" man="1"/>
    <brk id="634" min="1" max="17" man="1"/>
    <brk id="651" min="1" max="17" man="1"/>
    <brk id="668" min="1" max="17" man="1"/>
    <brk id="682" min="1" max="17" man="1"/>
    <brk id="696" min="1" max="17" man="1"/>
    <brk id="710" min="1" max="17" man="1"/>
    <brk id="724" min="1" max="17" man="1"/>
    <brk id="739" min="1" max="17" man="1"/>
    <brk id="755" min="1" max="17" man="1"/>
    <brk id="773" min="1" max="17" man="1"/>
    <brk id="811" min="1" max="17" man="1"/>
    <brk id="830" min="1" max="17" man="1"/>
    <brk id="847" min="1" max="17" man="1"/>
    <brk id="865" min="1" max="17" man="1"/>
    <brk id="879" min="1" max="17" man="1"/>
    <brk id="893" min="1" max="17" man="1"/>
    <brk id="907" min="1" max="17" man="1"/>
    <brk id="921" min="1" max="17" man="1"/>
    <brk id="934" min="1" max="17" man="1"/>
    <brk id="948" min="1" max="17" man="1"/>
    <brk id="962" min="1" max="17" man="1"/>
    <brk id="976" min="1" max="17" man="1"/>
    <brk id="995" min="1" max="17" man="1"/>
    <brk id="1019" min="1" max="17" man="1"/>
    <brk id="1042" min="1" max="17" man="1"/>
    <brk id="1063" min="1" max="17" man="1"/>
    <brk id="1081" min="1" max="17" man="1"/>
    <brk id="1099" min="1" max="17" man="1"/>
    <brk id="1117" min="1" max="17" man="1"/>
    <brk id="1135" min="1" max="17" man="1"/>
    <brk id="1153" min="1" max="17" man="1"/>
    <brk id="1169" max="16383" man="1"/>
    <brk id="1186" min="1" max="17" man="1"/>
    <brk id="1204" min="1" max="17" man="1"/>
    <brk id="1221" min="1" max="17" man="1"/>
    <brk id="1237" min="1" max="17" man="1"/>
    <brk id="1253" max="16383" man="1"/>
    <brk id="1267" min="1" max="17" man="1"/>
    <brk id="1281" min="1" max="17" man="1"/>
    <brk id="1294" min="1" max="17" man="1"/>
  </rowBreaks>
  <ignoredErrors>
    <ignoredError sqref="H2122:H2127 I2111:I2121 H2110:H2121 H2128:H213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2:X164"/>
  <sheetViews>
    <sheetView zoomScale="110" zoomScaleNormal="110" workbookViewId="0">
      <pane xSplit="4" topLeftCell="E1" activePane="topRight" state="frozenSplit"/>
      <selection pane="topRight" activeCell="G1" sqref="G1"/>
    </sheetView>
  </sheetViews>
  <sheetFormatPr baseColWidth="10" defaultColWidth="9.140625" defaultRowHeight="12.75" x14ac:dyDescent="0.2"/>
  <cols>
    <col min="1" max="1" width="2.5703125" style="9" customWidth="1"/>
    <col min="2" max="3" width="10.7109375" style="9" customWidth="1"/>
    <col min="4" max="5" width="9.5703125" style="10" customWidth="1"/>
    <col min="6" max="6" width="22.42578125" style="9" customWidth="1"/>
    <col min="7" max="7" width="14.140625" style="3" customWidth="1"/>
    <col min="8" max="8" width="21.5703125" style="10" customWidth="1"/>
    <col min="9" max="9" width="17.5703125" style="10" customWidth="1"/>
    <col min="10" max="10" width="18.42578125" style="9" customWidth="1"/>
    <col min="11" max="11" width="7.28515625" style="9" customWidth="1"/>
    <col min="12" max="12" width="14.140625" style="9" customWidth="1"/>
    <col min="13" max="13" width="6.28515625" style="9" customWidth="1"/>
    <col min="14" max="14" width="9.85546875" style="9" customWidth="1"/>
    <col min="15" max="15" width="11.7109375" style="9" customWidth="1"/>
    <col min="16" max="16" width="10.42578125" style="9" customWidth="1"/>
    <col min="17" max="17" width="13.140625" style="9" customWidth="1"/>
    <col min="18" max="18" width="12.7109375" style="9" customWidth="1"/>
    <col min="19" max="19" width="3.42578125" style="9" customWidth="1"/>
    <col min="20" max="20" width="2.5703125" style="9" customWidth="1"/>
    <col min="21" max="21" width="3.28515625" style="9" customWidth="1"/>
    <col min="22" max="22" width="4.85546875" style="9" customWidth="1"/>
    <col min="23" max="23" width="3.28515625" style="9" customWidth="1"/>
    <col min="24" max="24" width="4.42578125" style="9" customWidth="1"/>
    <col min="25" max="25" width="4.5703125" style="9" customWidth="1"/>
    <col min="26" max="26" width="4.140625" style="9" customWidth="1"/>
    <col min="27" max="27" width="5.5703125" style="9" customWidth="1"/>
    <col min="28" max="28" width="4.42578125" style="9" customWidth="1"/>
    <col min="29" max="29" width="4.140625" style="9" customWidth="1"/>
    <col min="30" max="31" width="3.42578125" style="9" customWidth="1"/>
    <col min="32" max="32" width="4.140625" style="9" customWidth="1"/>
    <col min="33" max="33" width="3.85546875" style="9" customWidth="1"/>
    <col min="34" max="16384" width="9.140625" style="9"/>
  </cols>
  <sheetData>
    <row r="2" spans="2:17" s="1" customFormat="1" ht="25.15" customHeight="1" x14ac:dyDescent="0.3">
      <c r="D2" s="284"/>
      <c r="E2" s="12" t="s">
        <v>2365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17" s="1" customFormat="1" ht="22.15" customHeight="1" x14ac:dyDescent="0.3">
      <c r="D3" s="284"/>
      <c r="E3" s="14" t="s">
        <v>2366</v>
      </c>
      <c r="F3" s="285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7" s="1" customFormat="1" ht="22.15" customHeight="1" x14ac:dyDescent="0.2">
      <c r="D4" s="286"/>
      <c r="E4" s="18" t="s">
        <v>7093</v>
      </c>
      <c r="F4" s="20"/>
      <c r="G4" s="20"/>
      <c r="H4" s="20"/>
      <c r="I4" s="20"/>
      <c r="J4" s="17"/>
      <c r="K4" s="17"/>
      <c r="L4" s="17"/>
      <c r="M4" s="17"/>
      <c r="N4" s="17"/>
      <c r="O4" s="17"/>
      <c r="P4" s="17"/>
      <c r="Q4" s="17"/>
    </row>
    <row r="5" spans="2:17" s="1" customFormat="1" ht="16.5" customHeight="1" x14ac:dyDescent="0.2">
      <c r="D5" s="287"/>
      <c r="E5" s="287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2:17" s="3" customFormat="1" ht="33.75" customHeight="1" x14ac:dyDescent="0.2">
      <c r="B6" s="432" t="s">
        <v>4318</v>
      </c>
      <c r="C6" s="432" t="s">
        <v>4319</v>
      </c>
      <c r="D6" s="433" t="s">
        <v>2367</v>
      </c>
      <c r="E6" s="434" t="s">
        <v>4</v>
      </c>
      <c r="F6" s="434" t="s">
        <v>5</v>
      </c>
      <c r="G6" s="434" t="s">
        <v>6</v>
      </c>
      <c r="H6" s="434" t="s">
        <v>2368</v>
      </c>
      <c r="I6" s="458" t="s">
        <v>2369</v>
      </c>
      <c r="J6" s="435" t="s">
        <v>9</v>
      </c>
      <c r="K6" s="435" t="s">
        <v>10</v>
      </c>
      <c r="L6" s="436" t="s">
        <v>2370</v>
      </c>
      <c r="M6" s="437" t="s">
        <v>12</v>
      </c>
      <c r="N6" s="438" t="s">
        <v>2371</v>
      </c>
      <c r="O6" s="439" t="s">
        <v>14</v>
      </c>
      <c r="P6" s="433" t="s">
        <v>15</v>
      </c>
      <c r="Q6" s="433" t="s">
        <v>16</v>
      </c>
    </row>
    <row r="7" spans="2:17" s="1" customFormat="1" ht="40.15" customHeight="1" x14ac:dyDescent="0.2">
      <c r="B7" s="482">
        <v>40984</v>
      </c>
      <c r="C7" s="493" t="s">
        <v>2349</v>
      </c>
      <c r="D7" s="469" t="s">
        <v>2372</v>
      </c>
      <c r="E7" s="336" t="s">
        <v>2373</v>
      </c>
      <c r="F7" s="468" t="s">
        <v>2374</v>
      </c>
      <c r="G7" s="469" t="s">
        <v>2375</v>
      </c>
      <c r="H7" s="469" t="s">
        <v>2376</v>
      </c>
      <c r="I7" s="469" t="s">
        <v>2377</v>
      </c>
      <c r="J7" s="494">
        <f>7548.47+1207.75+81.9+13.1</f>
        <v>8851.2200000000012</v>
      </c>
      <c r="K7" s="495">
        <v>39.020000000000003</v>
      </c>
      <c r="L7" s="496">
        <f t="shared" ref="L7:L28" si="0">+J7/K7</f>
        <v>226.8380317785751</v>
      </c>
      <c r="M7" s="469">
        <v>36</v>
      </c>
      <c r="N7" s="483">
        <f t="shared" ref="N7:N28" si="1">IF(AND(J7&lt;&gt;0,M7&lt;&gt;0),J7/M7,0)</f>
        <v>245.86722222222227</v>
      </c>
      <c r="O7" s="497">
        <f t="shared" ref="O7:O38" ca="1" si="2">IF(B7&lt;&gt;0,(ROUND((NOW()-B7)/30,0)),0)</f>
        <v>162</v>
      </c>
      <c r="P7" s="362">
        <v>1</v>
      </c>
      <c r="Q7" s="468" t="s">
        <v>369</v>
      </c>
    </row>
    <row r="8" spans="2:17" s="1" customFormat="1" ht="40.15" customHeight="1" x14ac:dyDescent="0.2">
      <c r="B8" s="482">
        <v>40984</v>
      </c>
      <c r="C8" s="493" t="s">
        <v>2349</v>
      </c>
      <c r="D8" s="469" t="s">
        <v>2372</v>
      </c>
      <c r="E8" s="336" t="s">
        <v>2378</v>
      </c>
      <c r="F8" s="468" t="s">
        <v>2374</v>
      </c>
      <c r="G8" s="469" t="s">
        <v>2379</v>
      </c>
      <c r="H8" s="469" t="s">
        <v>2380</v>
      </c>
      <c r="I8" s="469" t="s">
        <v>2381</v>
      </c>
      <c r="J8" s="494">
        <f>7548.47+1207.75+81.9+13.1</f>
        <v>8851.2200000000012</v>
      </c>
      <c r="K8" s="495">
        <v>39.020000000000003</v>
      </c>
      <c r="L8" s="496">
        <f t="shared" si="0"/>
        <v>226.8380317785751</v>
      </c>
      <c r="M8" s="469">
        <v>36</v>
      </c>
      <c r="N8" s="483">
        <f t="shared" si="1"/>
        <v>245.86722222222227</v>
      </c>
      <c r="O8" s="497">
        <f t="shared" ca="1" si="2"/>
        <v>162</v>
      </c>
      <c r="P8" s="362">
        <v>1</v>
      </c>
      <c r="Q8" s="468" t="s">
        <v>369</v>
      </c>
    </row>
    <row r="9" spans="2:17" s="1" customFormat="1" ht="40.15" customHeight="1" x14ac:dyDescent="0.2">
      <c r="B9" s="482">
        <v>40984</v>
      </c>
      <c r="C9" s="493" t="s">
        <v>2349</v>
      </c>
      <c r="D9" s="469" t="s">
        <v>2372</v>
      </c>
      <c r="E9" s="336" t="s">
        <v>2382</v>
      </c>
      <c r="F9" s="468" t="s">
        <v>2374</v>
      </c>
      <c r="G9" s="469" t="s">
        <v>2383</v>
      </c>
      <c r="H9" s="469" t="s">
        <v>2384</v>
      </c>
      <c r="I9" s="469" t="s">
        <v>2385</v>
      </c>
      <c r="J9" s="494">
        <f>7548.47+1207.75+81.9+13.1</f>
        <v>8851.2200000000012</v>
      </c>
      <c r="K9" s="495">
        <v>39.020000000000003</v>
      </c>
      <c r="L9" s="496">
        <f t="shared" si="0"/>
        <v>226.8380317785751</v>
      </c>
      <c r="M9" s="469">
        <v>36</v>
      </c>
      <c r="N9" s="483">
        <f t="shared" si="1"/>
        <v>245.86722222222227</v>
      </c>
      <c r="O9" s="497">
        <f t="shared" ca="1" si="2"/>
        <v>162</v>
      </c>
      <c r="P9" s="362">
        <v>1</v>
      </c>
      <c r="Q9" s="468" t="s">
        <v>369</v>
      </c>
    </row>
    <row r="10" spans="2:17" s="1" customFormat="1" ht="40.15" customHeight="1" x14ac:dyDescent="0.2">
      <c r="B10" s="482">
        <v>40984</v>
      </c>
      <c r="C10" s="493" t="s">
        <v>2349</v>
      </c>
      <c r="D10" s="469" t="s">
        <v>2372</v>
      </c>
      <c r="E10" s="336" t="s">
        <v>2386</v>
      </c>
      <c r="F10" s="468" t="s">
        <v>2374</v>
      </c>
      <c r="G10" s="469" t="s">
        <v>2387</v>
      </c>
      <c r="H10" s="469" t="s">
        <v>2388</v>
      </c>
      <c r="I10" s="469" t="s">
        <v>2389</v>
      </c>
      <c r="J10" s="494">
        <f>7548.47+1207.75+81.9+13.1</f>
        <v>8851.2200000000012</v>
      </c>
      <c r="K10" s="495">
        <v>39.020000000000003</v>
      </c>
      <c r="L10" s="496">
        <f t="shared" si="0"/>
        <v>226.8380317785751</v>
      </c>
      <c r="M10" s="469">
        <v>36</v>
      </c>
      <c r="N10" s="483">
        <f t="shared" si="1"/>
        <v>245.86722222222227</v>
      </c>
      <c r="O10" s="497">
        <f t="shared" ca="1" si="2"/>
        <v>162</v>
      </c>
      <c r="P10" s="362">
        <v>1</v>
      </c>
      <c r="Q10" s="468" t="s">
        <v>369</v>
      </c>
    </row>
    <row r="11" spans="2:17" s="1" customFormat="1" ht="40.15" customHeight="1" x14ac:dyDescent="0.2">
      <c r="B11" s="482">
        <v>40984</v>
      </c>
      <c r="C11" s="493" t="s">
        <v>2349</v>
      </c>
      <c r="D11" s="469" t="s">
        <v>2372</v>
      </c>
      <c r="E11" s="336" t="s">
        <v>2390</v>
      </c>
      <c r="F11" s="468" t="s">
        <v>2391</v>
      </c>
      <c r="G11" s="469">
        <v>1112071552</v>
      </c>
      <c r="H11" s="469" t="s">
        <v>2376</v>
      </c>
      <c r="I11" s="469" t="s">
        <v>2377</v>
      </c>
      <c r="J11" s="494">
        <f>1456.17+232.99</f>
        <v>1689.16</v>
      </c>
      <c r="K11" s="495">
        <v>39.020000000000003</v>
      </c>
      <c r="L11" s="496">
        <f t="shared" si="0"/>
        <v>43.289595079446435</v>
      </c>
      <c r="M11" s="469">
        <v>60</v>
      </c>
      <c r="N11" s="483">
        <f t="shared" si="1"/>
        <v>28.152666666666669</v>
      </c>
      <c r="O11" s="497">
        <f t="shared" ca="1" si="2"/>
        <v>162</v>
      </c>
      <c r="P11" s="362">
        <v>1</v>
      </c>
      <c r="Q11" s="468" t="s">
        <v>369</v>
      </c>
    </row>
    <row r="12" spans="2:17" s="1" customFormat="1" ht="40.15" customHeight="1" x14ac:dyDescent="0.2">
      <c r="B12" s="482">
        <v>40984</v>
      </c>
      <c r="C12" s="493" t="s">
        <v>2349</v>
      </c>
      <c r="D12" s="469" t="s">
        <v>2372</v>
      </c>
      <c r="E12" s="336" t="s">
        <v>2392</v>
      </c>
      <c r="F12" s="468" t="s">
        <v>2391</v>
      </c>
      <c r="G12" s="469">
        <v>1112071553</v>
      </c>
      <c r="H12" s="469" t="s">
        <v>2380</v>
      </c>
      <c r="I12" s="469" t="s">
        <v>2381</v>
      </c>
      <c r="J12" s="494">
        <f>1456.17+232.99</f>
        <v>1689.16</v>
      </c>
      <c r="K12" s="495">
        <v>39.020000000000003</v>
      </c>
      <c r="L12" s="496">
        <f t="shared" si="0"/>
        <v>43.289595079446435</v>
      </c>
      <c r="M12" s="469">
        <v>60</v>
      </c>
      <c r="N12" s="483">
        <f t="shared" si="1"/>
        <v>28.152666666666669</v>
      </c>
      <c r="O12" s="497">
        <f t="shared" ca="1" si="2"/>
        <v>162</v>
      </c>
      <c r="P12" s="362">
        <v>1</v>
      </c>
      <c r="Q12" s="468" t="s">
        <v>369</v>
      </c>
    </row>
    <row r="13" spans="2:17" s="1" customFormat="1" ht="40.15" customHeight="1" x14ac:dyDescent="0.2">
      <c r="B13" s="482">
        <v>40984</v>
      </c>
      <c r="C13" s="493" t="s">
        <v>2349</v>
      </c>
      <c r="D13" s="469" t="s">
        <v>2372</v>
      </c>
      <c r="E13" s="336" t="s">
        <v>2393</v>
      </c>
      <c r="F13" s="468" t="s">
        <v>2391</v>
      </c>
      <c r="G13" s="469">
        <v>1112071554</v>
      </c>
      <c r="H13" s="469" t="s">
        <v>2384</v>
      </c>
      <c r="I13" s="469" t="s">
        <v>2385</v>
      </c>
      <c r="J13" s="494">
        <f>1456.17+232.99</f>
        <v>1689.16</v>
      </c>
      <c r="K13" s="495">
        <v>39.020000000000003</v>
      </c>
      <c r="L13" s="496">
        <f t="shared" si="0"/>
        <v>43.289595079446435</v>
      </c>
      <c r="M13" s="469">
        <v>60</v>
      </c>
      <c r="N13" s="483">
        <f t="shared" si="1"/>
        <v>28.152666666666669</v>
      </c>
      <c r="O13" s="497">
        <f t="shared" ca="1" si="2"/>
        <v>162</v>
      </c>
      <c r="P13" s="362">
        <v>1</v>
      </c>
      <c r="Q13" s="468" t="s">
        <v>369</v>
      </c>
    </row>
    <row r="14" spans="2:17" s="1" customFormat="1" ht="40.15" customHeight="1" x14ac:dyDescent="0.2">
      <c r="B14" s="482">
        <v>40984</v>
      </c>
      <c r="C14" s="493" t="s">
        <v>2349</v>
      </c>
      <c r="D14" s="469" t="s">
        <v>2372</v>
      </c>
      <c r="E14" s="336" t="s">
        <v>2394</v>
      </c>
      <c r="F14" s="468" t="s">
        <v>2391</v>
      </c>
      <c r="G14" s="469">
        <v>1112071627</v>
      </c>
      <c r="H14" s="469" t="s">
        <v>2388</v>
      </c>
      <c r="I14" s="469" t="s">
        <v>2389</v>
      </c>
      <c r="J14" s="494">
        <f>1456.17+232.99</f>
        <v>1689.16</v>
      </c>
      <c r="K14" s="495">
        <v>39.020000000000003</v>
      </c>
      <c r="L14" s="496">
        <f t="shared" si="0"/>
        <v>43.289595079446435</v>
      </c>
      <c r="M14" s="469">
        <v>60</v>
      </c>
      <c r="N14" s="483">
        <f t="shared" si="1"/>
        <v>28.152666666666669</v>
      </c>
      <c r="O14" s="497">
        <f t="shared" ca="1" si="2"/>
        <v>162</v>
      </c>
      <c r="P14" s="362">
        <v>1</v>
      </c>
      <c r="Q14" s="468" t="s">
        <v>369</v>
      </c>
    </row>
    <row r="15" spans="2:17" s="1" customFormat="1" ht="40.15" customHeight="1" x14ac:dyDescent="0.2">
      <c r="B15" s="499">
        <v>40984</v>
      </c>
      <c r="C15" s="640" t="s">
        <v>2349</v>
      </c>
      <c r="D15" s="476" t="s">
        <v>2372</v>
      </c>
      <c r="E15" s="347" t="s">
        <v>2395</v>
      </c>
      <c r="F15" s="475" t="s">
        <v>2396</v>
      </c>
      <c r="G15" s="476" t="s">
        <v>2397</v>
      </c>
      <c r="H15" s="476" t="s">
        <v>2398</v>
      </c>
      <c r="I15" s="476" t="s">
        <v>19</v>
      </c>
      <c r="J15" s="500">
        <f>2870.73+459.32</f>
        <v>3330.05</v>
      </c>
      <c r="K15" s="501">
        <v>39.020000000000003</v>
      </c>
      <c r="L15" s="502">
        <f t="shared" si="0"/>
        <v>85.342132239876989</v>
      </c>
      <c r="M15" s="476">
        <v>60</v>
      </c>
      <c r="N15" s="503">
        <f t="shared" si="1"/>
        <v>55.50083333333334</v>
      </c>
      <c r="O15" s="504">
        <f t="shared" ca="1" si="2"/>
        <v>162</v>
      </c>
      <c r="P15" s="481">
        <v>1</v>
      </c>
      <c r="Q15" s="498" t="s">
        <v>369</v>
      </c>
    </row>
    <row r="16" spans="2:17" s="1" customFormat="1" ht="40.15" customHeight="1" x14ac:dyDescent="0.2">
      <c r="B16" s="499">
        <v>40984</v>
      </c>
      <c r="C16" s="640" t="s">
        <v>2349</v>
      </c>
      <c r="D16" s="476" t="s">
        <v>2372</v>
      </c>
      <c r="E16" s="347" t="s">
        <v>2399</v>
      </c>
      <c r="F16" s="475" t="s">
        <v>2396</v>
      </c>
      <c r="G16" s="476" t="s">
        <v>2400</v>
      </c>
      <c r="H16" s="476" t="s">
        <v>2401</v>
      </c>
      <c r="I16" s="476" t="s">
        <v>19</v>
      </c>
      <c r="J16" s="500">
        <f>2870.73+459.32</f>
        <v>3330.05</v>
      </c>
      <c r="K16" s="501">
        <v>39.020000000000003</v>
      </c>
      <c r="L16" s="502">
        <f t="shared" si="0"/>
        <v>85.342132239876989</v>
      </c>
      <c r="M16" s="476">
        <v>60</v>
      </c>
      <c r="N16" s="503">
        <f t="shared" si="1"/>
        <v>55.50083333333334</v>
      </c>
      <c r="O16" s="504">
        <f t="shared" ca="1" si="2"/>
        <v>162</v>
      </c>
      <c r="P16" s="481">
        <v>1</v>
      </c>
      <c r="Q16" s="498" t="s">
        <v>369</v>
      </c>
    </row>
    <row r="17" spans="2:17" s="1" customFormat="1" ht="40.15" customHeight="1" x14ac:dyDescent="0.2">
      <c r="B17" s="499">
        <v>40984</v>
      </c>
      <c r="C17" s="640" t="s">
        <v>2349</v>
      </c>
      <c r="D17" s="476" t="s">
        <v>2372</v>
      </c>
      <c r="E17" s="347" t="s">
        <v>2402</v>
      </c>
      <c r="F17" s="475" t="s">
        <v>2396</v>
      </c>
      <c r="G17" s="476" t="s">
        <v>2403</v>
      </c>
      <c r="H17" s="476" t="s">
        <v>2404</v>
      </c>
      <c r="I17" s="476" t="s">
        <v>19</v>
      </c>
      <c r="J17" s="500">
        <f>2870.73+459.31</f>
        <v>3330.04</v>
      </c>
      <c r="K17" s="501">
        <v>39.020000000000003</v>
      </c>
      <c r="L17" s="502">
        <f t="shared" si="0"/>
        <v>85.341875961045616</v>
      </c>
      <c r="M17" s="476">
        <v>60</v>
      </c>
      <c r="N17" s="503">
        <f t="shared" si="1"/>
        <v>55.500666666666667</v>
      </c>
      <c r="O17" s="504">
        <f t="shared" ca="1" si="2"/>
        <v>162</v>
      </c>
      <c r="P17" s="481">
        <v>1</v>
      </c>
      <c r="Q17" s="468" t="s">
        <v>369</v>
      </c>
    </row>
    <row r="18" spans="2:17" s="282" customFormat="1" ht="40.15" customHeight="1" x14ac:dyDescent="0.2">
      <c r="B18" s="499">
        <v>40984</v>
      </c>
      <c r="C18" s="640" t="s">
        <v>2349</v>
      </c>
      <c r="D18" s="476" t="s">
        <v>2372</v>
      </c>
      <c r="E18" s="347" t="s">
        <v>2405</v>
      </c>
      <c r="F18" s="475" t="s">
        <v>2406</v>
      </c>
      <c r="G18" s="476" t="s">
        <v>2407</v>
      </c>
      <c r="H18" s="476" t="s">
        <v>2408</v>
      </c>
      <c r="I18" s="476" t="s">
        <v>19</v>
      </c>
      <c r="J18" s="500">
        <f>2870.73+459.31</f>
        <v>3330.04</v>
      </c>
      <c r="K18" s="501">
        <v>39.020000000000003</v>
      </c>
      <c r="L18" s="502">
        <f t="shared" si="0"/>
        <v>85.341875961045616</v>
      </c>
      <c r="M18" s="476">
        <v>60</v>
      </c>
      <c r="N18" s="503">
        <f t="shared" si="1"/>
        <v>55.500666666666667</v>
      </c>
      <c r="O18" s="504">
        <f t="shared" ca="1" si="2"/>
        <v>162</v>
      </c>
      <c r="P18" s="481">
        <v>1</v>
      </c>
      <c r="Q18" s="498" t="s">
        <v>369</v>
      </c>
    </row>
    <row r="19" spans="2:17" s="1" customFormat="1" ht="40.15" customHeight="1" x14ac:dyDescent="0.2">
      <c r="B19" s="499">
        <v>40984</v>
      </c>
      <c r="C19" s="640" t="s">
        <v>2349</v>
      </c>
      <c r="D19" s="476" t="s">
        <v>2372</v>
      </c>
      <c r="E19" s="347" t="s">
        <v>2409</v>
      </c>
      <c r="F19" s="475" t="s">
        <v>2406</v>
      </c>
      <c r="G19" s="476" t="s">
        <v>2410</v>
      </c>
      <c r="H19" s="476" t="s">
        <v>2411</v>
      </c>
      <c r="I19" s="476" t="s">
        <v>19</v>
      </c>
      <c r="J19" s="500">
        <f>2870.73+459.31</f>
        <v>3330.04</v>
      </c>
      <c r="K19" s="501">
        <v>39.020000000000003</v>
      </c>
      <c r="L19" s="502">
        <f t="shared" si="0"/>
        <v>85.341875961045616</v>
      </c>
      <c r="M19" s="476">
        <v>60</v>
      </c>
      <c r="N19" s="503">
        <f t="shared" si="1"/>
        <v>55.500666666666667</v>
      </c>
      <c r="O19" s="504">
        <f t="shared" ca="1" si="2"/>
        <v>162</v>
      </c>
      <c r="P19" s="481">
        <v>1</v>
      </c>
      <c r="Q19" s="468" t="s">
        <v>369</v>
      </c>
    </row>
    <row r="20" spans="2:17" s="282" customFormat="1" ht="40.15" customHeight="1" x14ac:dyDescent="0.2">
      <c r="B20" s="499">
        <v>40984</v>
      </c>
      <c r="C20" s="640" t="s">
        <v>2349</v>
      </c>
      <c r="D20" s="476" t="s">
        <v>2372</v>
      </c>
      <c r="E20" s="347" t="s">
        <v>2412</v>
      </c>
      <c r="F20" s="475" t="s">
        <v>2406</v>
      </c>
      <c r="G20" s="476" t="s">
        <v>2413</v>
      </c>
      <c r="H20" s="476" t="s">
        <v>2411</v>
      </c>
      <c r="I20" s="476" t="s">
        <v>19</v>
      </c>
      <c r="J20" s="500">
        <f>2870.73+459.31</f>
        <v>3330.04</v>
      </c>
      <c r="K20" s="501">
        <v>39.020000000000003</v>
      </c>
      <c r="L20" s="502">
        <f t="shared" si="0"/>
        <v>85.341875961045616</v>
      </c>
      <c r="M20" s="476">
        <v>60</v>
      </c>
      <c r="N20" s="503">
        <f t="shared" si="1"/>
        <v>55.500666666666667</v>
      </c>
      <c r="O20" s="504">
        <f t="shared" ca="1" si="2"/>
        <v>162</v>
      </c>
      <c r="P20" s="481">
        <v>1</v>
      </c>
      <c r="Q20" s="498" t="s">
        <v>369</v>
      </c>
    </row>
    <row r="21" spans="2:17" s="1" customFormat="1" ht="50.25" customHeight="1" x14ac:dyDescent="0.2">
      <c r="B21" s="482">
        <v>40996</v>
      </c>
      <c r="C21" s="493" t="s">
        <v>2349</v>
      </c>
      <c r="D21" s="469" t="s">
        <v>2414</v>
      </c>
      <c r="E21" s="336" t="s">
        <v>2395</v>
      </c>
      <c r="F21" s="468" t="s">
        <v>2415</v>
      </c>
      <c r="G21" s="469" t="s">
        <v>2416</v>
      </c>
      <c r="H21" s="469" t="s">
        <v>2376</v>
      </c>
      <c r="I21" s="469" t="s">
        <v>2377</v>
      </c>
      <c r="J21" s="494">
        <f>40063.18+6410.11+4680.95+748.95+563.19+90.11</f>
        <v>52556.49</v>
      </c>
      <c r="K21" s="495">
        <v>38.979999999999997</v>
      </c>
      <c r="L21" s="496">
        <f t="shared" si="0"/>
        <v>1348.293740379682</v>
      </c>
      <c r="M21" s="469">
        <v>60</v>
      </c>
      <c r="N21" s="483">
        <f t="shared" si="1"/>
        <v>875.94150000000002</v>
      </c>
      <c r="O21" s="497">
        <f t="shared" ca="1" si="2"/>
        <v>162</v>
      </c>
      <c r="P21" s="362">
        <v>1</v>
      </c>
      <c r="Q21" s="468" t="s">
        <v>61</v>
      </c>
    </row>
    <row r="22" spans="2:17" s="1" customFormat="1" ht="49.5" customHeight="1" x14ac:dyDescent="0.2">
      <c r="B22" s="482">
        <v>40996</v>
      </c>
      <c r="C22" s="493" t="s">
        <v>2349</v>
      </c>
      <c r="D22" s="469" t="s">
        <v>2414</v>
      </c>
      <c r="E22" s="336" t="s">
        <v>2399</v>
      </c>
      <c r="F22" s="468" t="s">
        <v>2415</v>
      </c>
      <c r="G22" s="469" t="s">
        <v>2417</v>
      </c>
      <c r="H22" s="469" t="s">
        <v>2380</v>
      </c>
      <c r="I22" s="469" t="s">
        <v>2381</v>
      </c>
      <c r="J22" s="494">
        <f>40063.18+6410.11+4680.95+748.95+563.19+90.11</f>
        <v>52556.49</v>
      </c>
      <c r="K22" s="495">
        <v>38.979999999999997</v>
      </c>
      <c r="L22" s="496">
        <f t="shared" si="0"/>
        <v>1348.293740379682</v>
      </c>
      <c r="M22" s="469">
        <v>60</v>
      </c>
      <c r="N22" s="483">
        <f t="shared" si="1"/>
        <v>875.94150000000002</v>
      </c>
      <c r="O22" s="497">
        <f t="shared" ca="1" si="2"/>
        <v>162</v>
      </c>
      <c r="P22" s="362">
        <v>1</v>
      </c>
      <c r="Q22" s="468" t="s">
        <v>61</v>
      </c>
    </row>
    <row r="23" spans="2:17" s="1" customFormat="1" ht="48.75" customHeight="1" x14ac:dyDescent="0.2">
      <c r="B23" s="482">
        <v>40996</v>
      </c>
      <c r="C23" s="493" t="s">
        <v>2349</v>
      </c>
      <c r="D23" s="469" t="s">
        <v>2414</v>
      </c>
      <c r="E23" s="336" t="s">
        <v>2402</v>
      </c>
      <c r="F23" s="468" t="s">
        <v>2415</v>
      </c>
      <c r="G23" s="469" t="s">
        <v>2418</v>
      </c>
      <c r="H23" s="469" t="s">
        <v>2384</v>
      </c>
      <c r="I23" s="469" t="s">
        <v>2385</v>
      </c>
      <c r="J23" s="494">
        <f>40063.18+6410.11+4680.95+748.95+563.19+90.11</f>
        <v>52556.49</v>
      </c>
      <c r="K23" s="495">
        <v>38.979999999999997</v>
      </c>
      <c r="L23" s="496">
        <f t="shared" si="0"/>
        <v>1348.293740379682</v>
      </c>
      <c r="M23" s="469">
        <v>60</v>
      </c>
      <c r="N23" s="483">
        <f t="shared" si="1"/>
        <v>875.94150000000002</v>
      </c>
      <c r="O23" s="497">
        <f t="shared" ca="1" si="2"/>
        <v>162</v>
      </c>
      <c r="P23" s="362">
        <v>1</v>
      </c>
      <c r="Q23" s="468" t="s">
        <v>61</v>
      </c>
    </row>
    <row r="24" spans="2:17" s="1" customFormat="1" ht="46.5" customHeight="1" x14ac:dyDescent="0.2">
      <c r="B24" s="482">
        <v>40996</v>
      </c>
      <c r="C24" s="493" t="s">
        <v>2349</v>
      </c>
      <c r="D24" s="469" t="s">
        <v>2414</v>
      </c>
      <c r="E24" s="336" t="s">
        <v>2405</v>
      </c>
      <c r="F24" s="468" t="s">
        <v>2415</v>
      </c>
      <c r="G24" s="469" t="s">
        <v>2419</v>
      </c>
      <c r="H24" s="469" t="s">
        <v>2388</v>
      </c>
      <c r="I24" s="469" t="s">
        <v>2389</v>
      </c>
      <c r="J24" s="494">
        <f>40063.18+6410.11+4680.95+748.95+563.19+90.11</f>
        <v>52556.49</v>
      </c>
      <c r="K24" s="495">
        <v>38.979999999999997</v>
      </c>
      <c r="L24" s="496">
        <f t="shared" si="0"/>
        <v>1348.293740379682</v>
      </c>
      <c r="M24" s="469">
        <v>60</v>
      </c>
      <c r="N24" s="483">
        <f t="shared" si="1"/>
        <v>875.94150000000002</v>
      </c>
      <c r="O24" s="497">
        <f t="shared" ca="1" si="2"/>
        <v>162</v>
      </c>
      <c r="P24" s="362">
        <v>1</v>
      </c>
      <c r="Q24" s="468" t="s">
        <v>61</v>
      </c>
    </row>
    <row r="25" spans="2:17" s="1" customFormat="1" ht="47.25" customHeight="1" x14ac:dyDescent="0.2">
      <c r="B25" s="482">
        <v>40996</v>
      </c>
      <c r="C25" s="493" t="s">
        <v>2349</v>
      </c>
      <c r="D25" s="469" t="s">
        <v>2414</v>
      </c>
      <c r="E25" s="336" t="s">
        <v>2420</v>
      </c>
      <c r="F25" s="468" t="s">
        <v>2415</v>
      </c>
      <c r="G25" s="469" t="s">
        <v>2421</v>
      </c>
      <c r="H25" s="469" t="s">
        <v>2411</v>
      </c>
      <c r="I25" s="469" t="s">
        <v>19</v>
      </c>
      <c r="J25" s="494">
        <f>40063.18+6410.11+4680.95+748.95+563.19+90.11</f>
        <v>52556.49</v>
      </c>
      <c r="K25" s="495">
        <v>38.979999999999997</v>
      </c>
      <c r="L25" s="496">
        <f t="shared" si="0"/>
        <v>1348.293740379682</v>
      </c>
      <c r="M25" s="469">
        <v>60</v>
      </c>
      <c r="N25" s="483">
        <f t="shared" si="1"/>
        <v>875.94150000000002</v>
      </c>
      <c r="O25" s="497">
        <f t="shared" ca="1" si="2"/>
        <v>162</v>
      </c>
      <c r="P25" s="362">
        <v>1</v>
      </c>
      <c r="Q25" s="468" t="s">
        <v>61</v>
      </c>
    </row>
    <row r="26" spans="2:17" s="1" customFormat="1" ht="40.15" customHeight="1" x14ac:dyDescent="0.2">
      <c r="B26" s="482">
        <v>40997</v>
      </c>
      <c r="C26" s="493" t="s">
        <v>2349</v>
      </c>
      <c r="D26" s="469" t="s">
        <v>2422</v>
      </c>
      <c r="E26" s="336" t="s">
        <v>2423</v>
      </c>
      <c r="F26" s="468" t="s">
        <v>2424</v>
      </c>
      <c r="G26" s="469" t="s">
        <v>2425</v>
      </c>
      <c r="H26" s="469" t="s">
        <v>2411</v>
      </c>
      <c r="I26" s="469" t="s">
        <v>19</v>
      </c>
      <c r="J26" s="494">
        <f>18351.78+2936.29</f>
        <v>21288.07</v>
      </c>
      <c r="K26" s="495">
        <v>38.99</v>
      </c>
      <c r="L26" s="496">
        <f t="shared" si="0"/>
        <v>545.98794562708383</v>
      </c>
      <c r="M26" s="469">
        <v>60</v>
      </c>
      <c r="N26" s="483">
        <f t="shared" si="1"/>
        <v>354.80116666666669</v>
      </c>
      <c r="O26" s="497">
        <f t="shared" ca="1" si="2"/>
        <v>162</v>
      </c>
      <c r="P26" s="362">
        <v>1</v>
      </c>
      <c r="Q26" s="468" t="s">
        <v>728</v>
      </c>
    </row>
    <row r="27" spans="2:17" s="1" customFormat="1" ht="40.15" customHeight="1" x14ac:dyDescent="0.2">
      <c r="B27" s="482">
        <v>40997</v>
      </c>
      <c r="C27" s="493" t="s">
        <v>2349</v>
      </c>
      <c r="D27" s="469" t="s">
        <v>2422</v>
      </c>
      <c r="E27" s="336" t="s">
        <v>2426</v>
      </c>
      <c r="F27" s="468" t="s">
        <v>2424</v>
      </c>
      <c r="G27" s="469" t="s">
        <v>2427</v>
      </c>
      <c r="H27" s="469" t="s">
        <v>2411</v>
      </c>
      <c r="I27" s="469" t="s">
        <v>19</v>
      </c>
      <c r="J27" s="494">
        <f>18351.78+2936.28</f>
        <v>21288.059999999998</v>
      </c>
      <c r="K27" s="495">
        <v>38.99</v>
      </c>
      <c r="L27" s="496">
        <f t="shared" si="0"/>
        <v>545.98768915106427</v>
      </c>
      <c r="M27" s="469">
        <v>60</v>
      </c>
      <c r="N27" s="483">
        <f t="shared" si="1"/>
        <v>354.80099999999999</v>
      </c>
      <c r="O27" s="497">
        <f t="shared" ca="1" si="2"/>
        <v>162</v>
      </c>
      <c r="P27" s="362">
        <v>1</v>
      </c>
      <c r="Q27" s="468" t="s">
        <v>728</v>
      </c>
    </row>
    <row r="28" spans="2:17" s="1" customFormat="1" ht="40.15" customHeight="1" x14ac:dyDescent="0.2">
      <c r="B28" s="499">
        <v>40997</v>
      </c>
      <c r="C28" s="493" t="s">
        <v>2349</v>
      </c>
      <c r="D28" s="476" t="s">
        <v>2428</v>
      </c>
      <c r="E28" s="347" t="s">
        <v>2429</v>
      </c>
      <c r="F28" s="475" t="s">
        <v>2430</v>
      </c>
      <c r="G28" s="476" t="s">
        <v>2431</v>
      </c>
      <c r="H28" s="476" t="s">
        <v>941</v>
      </c>
      <c r="I28" s="476" t="s">
        <v>19</v>
      </c>
      <c r="J28" s="500">
        <f>48021+7683.36</f>
        <v>55704.36</v>
      </c>
      <c r="K28" s="501">
        <v>38.99</v>
      </c>
      <c r="L28" s="502">
        <f t="shared" si="0"/>
        <v>1428.6832521159272</v>
      </c>
      <c r="M28" s="476">
        <v>60</v>
      </c>
      <c r="N28" s="503">
        <f t="shared" si="1"/>
        <v>928.40600000000006</v>
      </c>
      <c r="O28" s="504">
        <f t="shared" ca="1" si="2"/>
        <v>162</v>
      </c>
      <c r="P28" s="481">
        <v>1</v>
      </c>
      <c r="Q28" s="475" t="s">
        <v>777</v>
      </c>
    </row>
    <row r="29" spans="2:17" s="1" customFormat="1" ht="40.15" customHeight="1" x14ac:dyDescent="0.2">
      <c r="B29" s="499">
        <v>40997</v>
      </c>
      <c r="C29" s="493" t="s">
        <v>2349</v>
      </c>
      <c r="D29" s="476" t="s">
        <v>2428</v>
      </c>
      <c r="E29" s="347" t="s">
        <v>2432</v>
      </c>
      <c r="F29" s="475" t="s">
        <v>2430</v>
      </c>
      <c r="G29" s="476" t="s">
        <v>2433</v>
      </c>
      <c r="H29" s="476" t="s">
        <v>2404</v>
      </c>
      <c r="I29" s="476" t="s">
        <v>19</v>
      </c>
      <c r="J29" s="500">
        <f t="shared" ref="J29:J35" si="3">48021+7683.36</f>
        <v>55704.36</v>
      </c>
      <c r="K29" s="501">
        <v>38.99</v>
      </c>
      <c r="L29" s="502">
        <f t="shared" ref="L29:L55" si="4">+J29/K29</f>
        <v>1428.6832521159272</v>
      </c>
      <c r="M29" s="476">
        <v>60</v>
      </c>
      <c r="N29" s="503">
        <f t="shared" ref="N29:N55" si="5">IF(AND(J29&lt;&gt;0,M29&lt;&gt;0),J29/M29,0)</f>
        <v>928.40600000000006</v>
      </c>
      <c r="O29" s="504">
        <f t="shared" ca="1" si="2"/>
        <v>162</v>
      </c>
      <c r="P29" s="481">
        <v>1</v>
      </c>
      <c r="Q29" s="475" t="s">
        <v>777</v>
      </c>
    </row>
    <row r="30" spans="2:17" s="1" customFormat="1" ht="40.15" customHeight="1" x14ac:dyDescent="0.2">
      <c r="B30" s="499">
        <v>40997</v>
      </c>
      <c r="C30" s="493" t="s">
        <v>2349</v>
      </c>
      <c r="D30" s="476" t="s">
        <v>2428</v>
      </c>
      <c r="E30" s="347" t="s">
        <v>2434</v>
      </c>
      <c r="F30" s="475" t="s">
        <v>2430</v>
      </c>
      <c r="G30" s="476" t="s">
        <v>2435</v>
      </c>
      <c r="H30" s="476" t="s">
        <v>2436</v>
      </c>
      <c r="I30" s="476" t="s">
        <v>19</v>
      </c>
      <c r="J30" s="500">
        <f t="shared" si="3"/>
        <v>55704.36</v>
      </c>
      <c r="K30" s="501">
        <v>38.99</v>
      </c>
      <c r="L30" s="502">
        <f t="shared" si="4"/>
        <v>1428.6832521159272</v>
      </c>
      <c r="M30" s="476">
        <v>60</v>
      </c>
      <c r="N30" s="503">
        <f t="shared" si="5"/>
        <v>928.40600000000006</v>
      </c>
      <c r="O30" s="504">
        <f t="shared" ca="1" si="2"/>
        <v>162</v>
      </c>
      <c r="P30" s="481">
        <v>1</v>
      </c>
      <c r="Q30" s="475" t="s">
        <v>777</v>
      </c>
    </row>
    <row r="31" spans="2:17" s="1" customFormat="1" ht="40.15" customHeight="1" x14ac:dyDescent="0.2">
      <c r="B31" s="499">
        <v>40997</v>
      </c>
      <c r="C31" s="493" t="s">
        <v>2349</v>
      </c>
      <c r="D31" s="476" t="s">
        <v>2428</v>
      </c>
      <c r="E31" s="347" t="s">
        <v>2437</v>
      </c>
      <c r="F31" s="475" t="s">
        <v>2430</v>
      </c>
      <c r="G31" s="476" t="s">
        <v>2438</v>
      </c>
      <c r="H31" s="476" t="s">
        <v>2411</v>
      </c>
      <c r="I31" s="476" t="s">
        <v>19</v>
      </c>
      <c r="J31" s="500">
        <f t="shared" si="3"/>
        <v>55704.36</v>
      </c>
      <c r="K31" s="501">
        <v>38.99</v>
      </c>
      <c r="L31" s="502">
        <f t="shared" si="4"/>
        <v>1428.6832521159272</v>
      </c>
      <c r="M31" s="476">
        <v>60</v>
      </c>
      <c r="N31" s="503">
        <f t="shared" si="5"/>
        <v>928.40600000000006</v>
      </c>
      <c r="O31" s="504">
        <f t="shared" ca="1" si="2"/>
        <v>162</v>
      </c>
      <c r="P31" s="481">
        <v>1</v>
      </c>
      <c r="Q31" s="475" t="s">
        <v>777</v>
      </c>
    </row>
    <row r="32" spans="2:17" s="1" customFormat="1" ht="40.15" customHeight="1" x14ac:dyDescent="0.2">
      <c r="B32" s="499">
        <v>40997</v>
      </c>
      <c r="C32" s="493" t="s">
        <v>2349</v>
      </c>
      <c r="D32" s="476" t="s">
        <v>2428</v>
      </c>
      <c r="E32" s="347" t="s">
        <v>2439</v>
      </c>
      <c r="F32" s="475" t="s">
        <v>2430</v>
      </c>
      <c r="G32" s="476" t="s">
        <v>2440</v>
      </c>
      <c r="H32" s="476" t="s">
        <v>2411</v>
      </c>
      <c r="I32" s="476" t="s">
        <v>19</v>
      </c>
      <c r="J32" s="500">
        <f t="shared" si="3"/>
        <v>55704.36</v>
      </c>
      <c r="K32" s="501">
        <v>38.99</v>
      </c>
      <c r="L32" s="502">
        <f t="shared" si="4"/>
        <v>1428.6832521159272</v>
      </c>
      <c r="M32" s="476">
        <v>60</v>
      </c>
      <c r="N32" s="503">
        <f t="shared" si="5"/>
        <v>928.40600000000006</v>
      </c>
      <c r="O32" s="504">
        <f t="shared" ca="1" si="2"/>
        <v>162</v>
      </c>
      <c r="P32" s="481">
        <v>1</v>
      </c>
      <c r="Q32" s="475" t="s">
        <v>777</v>
      </c>
    </row>
    <row r="33" spans="2:24" s="1" customFormat="1" ht="50.25" customHeight="1" x14ac:dyDescent="0.2">
      <c r="B33" s="482">
        <v>40997</v>
      </c>
      <c r="C33" s="493" t="s">
        <v>2349</v>
      </c>
      <c r="D33" s="469" t="s">
        <v>2428</v>
      </c>
      <c r="E33" s="336" t="s">
        <v>2441</v>
      </c>
      <c r="F33" s="468" t="s">
        <v>2430</v>
      </c>
      <c r="G33" s="469" t="s">
        <v>2442</v>
      </c>
      <c r="H33" s="469" t="s">
        <v>2443</v>
      </c>
      <c r="I33" s="469" t="s">
        <v>2444</v>
      </c>
      <c r="J33" s="494">
        <f t="shared" si="3"/>
        <v>55704.36</v>
      </c>
      <c r="K33" s="495">
        <v>38.99</v>
      </c>
      <c r="L33" s="496">
        <f t="shared" si="4"/>
        <v>1428.6832521159272</v>
      </c>
      <c r="M33" s="469">
        <v>60</v>
      </c>
      <c r="N33" s="483">
        <f t="shared" si="5"/>
        <v>928.40600000000006</v>
      </c>
      <c r="O33" s="497">
        <f t="shared" ca="1" si="2"/>
        <v>162</v>
      </c>
      <c r="P33" s="362">
        <v>1</v>
      </c>
      <c r="Q33" s="468" t="s">
        <v>777</v>
      </c>
    </row>
    <row r="34" spans="2:24" s="1" customFormat="1" ht="62.25" customHeight="1" x14ac:dyDescent="0.2">
      <c r="B34" s="482">
        <v>40997</v>
      </c>
      <c r="C34" s="493" t="s">
        <v>2349</v>
      </c>
      <c r="D34" s="469" t="s">
        <v>2428</v>
      </c>
      <c r="E34" s="336" t="s">
        <v>2445</v>
      </c>
      <c r="F34" s="468" t="s">
        <v>2430</v>
      </c>
      <c r="G34" s="469" t="s">
        <v>2446</v>
      </c>
      <c r="H34" s="469" t="s">
        <v>2443</v>
      </c>
      <c r="I34" s="469" t="s">
        <v>2444</v>
      </c>
      <c r="J34" s="494">
        <f t="shared" si="3"/>
        <v>55704.36</v>
      </c>
      <c r="K34" s="495">
        <v>38.99</v>
      </c>
      <c r="L34" s="496">
        <f t="shared" si="4"/>
        <v>1428.6832521159272</v>
      </c>
      <c r="M34" s="469">
        <v>60</v>
      </c>
      <c r="N34" s="483">
        <f t="shared" si="5"/>
        <v>928.40600000000006</v>
      </c>
      <c r="O34" s="497">
        <f t="shared" ca="1" si="2"/>
        <v>162</v>
      </c>
      <c r="P34" s="362">
        <v>1</v>
      </c>
      <c r="Q34" s="468" t="s">
        <v>777</v>
      </c>
    </row>
    <row r="35" spans="2:24" s="1" customFormat="1" ht="40.15" customHeight="1" x14ac:dyDescent="0.2">
      <c r="B35" s="499">
        <v>40997</v>
      </c>
      <c r="C35" s="493" t="s">
        <v>2349</v>
      </c>
      <c r="D35" s="476" t="s">
        <v>2428</v>
      </c>
      <c r="E35" s="347" t="s">
        <v>2447</v>
      </c>
      <c r="F35" s="475" t="s">
        <v>2430</v>
      </c>
      <c r="G35" s="476" t="s">
        <v>2448</v>
      </c>
      <c r="H35" s="476" t="s">
        <v>2449</v>
      </c>
      <c r="I35" s="476" t="s">
        <v>19</v>
      </c>
      <c r="J35" s="500">
        <f t="shared" si="3"/>
        <v>55704.36</v>
      </c>
      <c r="K35" s="501">
        <v>38.99</v>
      </c>
      <c r="L35" s="502">
        <f t="shared" si="4"/>
        <v>1428.6832521159272</v>
      </c>
      <c r="M35" s="476">
        <v>60</v>
      </c>
      <c r="N35" s="503">
        <f t="shared" si="5"/>
        <v>928.40600000000006</v>
      </c>
      <c r="O35" s="504">
        <f t="shared" ca="1" si="2"/>
        <v>162</v>
      </c>
      <c r="P35" s="481">
        <v>1</v>
      </c>
      <c r="Q35" s="475" t="s">
        <v>777</v>
      </c>
    </row>
    <row r="36" spans="2:24" s="1" customFormat="1" ht="40.15" customHeight="1" x14ac:dyDescent="0.2">
      <c r="B36" s="499">
        <v>40997</v>
      </c>
      <c r="C36" s="493" t="s">
        <v>2349</v>
      </c>
      <c r="D36" s="476" t="s">
        <v>2450</v>
      </c>
      <c r="E36" s="347" t="s">
        <v>2451</v>
      </c>
      <c r="F36" s="475" t="s">
        <v>2452</v>
      </c>
      <c r="G36" s="476" t="s">
        <v>2453</v>
      </c>
      <c r="H36" s="476" t="s">
        <v>2454</v>
      </c>
      <c r="I36" s="476" t="s">
        <v>19</v>
      </c>
      <c r="J36" s="500">
        <f>77716+12434.56</f>
        <v>90150.56</v>
      </c>
      <c r="K36" s="501">
        <v>38.99</v>
      </c>
      <c r="L36" s="502">
        <f t="shared" si="4"/>
        <v>2312.1456783790713</v>
      </c>
      <c r="M36" s="476">
        <v>60</v>
      </c>
      <c r="N36" s="503">
        <f t="shared" si="5"/>
        <v>1502.5093333333332</v>
      </c>
      <c r="O36" s="504">
        <f t="shared" ca="1" si="2"/>
        <v>162</v>
      </c>
      <c r="P36" s="481">
        <v>1</v>
      </c>
      <c r="Q36" s="475" t="s">
        <v>777</v>
      </c>
    </row>
    <row r="37" spans="2:24" s="1" customFormat="1" ht="40.15" customHeight="1" x14ac:dyDescent="0.2">
      <c r="B37" s="482">
        <v>40997</v>
      </c>
      <c r="C37" s="493" t="s">
        <v>2349</v>
      </c>
      <c r="D37" s="469" t="s">
        <v>2450</v>
      </c>
      <c r="E37" s="336" t="s">
        <v>2409</v>
      </c>
      <c r="F37" s="468" t="s">
        <v>2452</v>
      </c>
      <c r="G37" s="469" t="s">
        <v>2455</v>
      </c>
      <c r="H37" s="469" t="s">
        <v>2456</v>
      </c>
      <c r="I37" s="469" t="s">
        <v>2457</v>
      </c>
      <c r="J37" s="494">
        <f>77716+12434.56</f>
        <v>90150.56</v>
      </c>
      <c r="K37" s="495">
        <v>38.99</v>
      </c>
      <c r="L37" s="496">
        <f t="shared" si="4"/>
        <v>2312.1456783790713</v>
      </c>
      <c r="M37" s="469">
        <v>60</v>
      </c>
      <c r="N37" s="483">
        <f t="shared" si="5"/>
        <v>1502.5093333333332</v>
      </c>
      <c r="O37" s="497">
        <f t="shared" ca="1" si="2"/>
        <v>162</v>
      </c>
      <c r="P37" s="362">
        <v>1</v>
      </c>
      <c r="Q37" s="468" t="s">
        <v>777</v>
      </c>
    </row>
    <row r="38" spans="2:24" s="1" customFormat="1" ht="40.15" customHeight="1" x14ac:dyDescent="0.2">
      <c r="B38" s="482">
        <v>41028</v>
      </c>
      <c r="C38" s="493" t="s">
        <v>2349</v>
      </c>
      <c r="D38" s="469" t="s">
        <v>2458</v>
      </c>
      <c r="E38" s="336" t="s">
        <v>2459</v>
      </c>
      <c r="F38" s="468" t="s">
        <v>2460</v>
      </c>
      <c r="G38" s="505" t="s">
        <v>2461</v>
      </c>
      <c r="H38" s="469" t="s">
        <v>2411</v>
      </c>
      <c r="I38" s="469" t="s">
        <v>2462</v>
      </c>
      <c r="J38" s="494">
        <f>12215.52+6219.83+6143.42+552.93+4021.07</f>
        <v>29152.769999999997</v>
      </c>
      <c r="K38" s="495">
        <v>38.99</v>
      </c>
      <c r="L38" s="496">
        <f t="shared" si="4"/>
        <v>747.69864067709659</v>
      </c>
      <c r="M38" s="469">
        <v>60</v>
      </c>
      <c r="N38" s="483">
        <f t="shared" si="5"/>
        <v>485.87949999999995</v>
      </c>
      <c r="O38" s="497">
        <f t="shared" ca="1" si="2"/>
        <v>161</v>
      </c>
      <c r="P38" s="362">
        <v>1</v>
      </c>
      <c r="Q38" s="468" t="s">
        <v>369</v>
      </c>
    </row>
    <row r="39" spans="2:24" s="1" customFormat="1" ht="40.15" customHeight="1" x14ac:dyDescent="0.2">
      <c r="B39" s="499">
        <v>41028</v>
      </c>
      <c r="C39" s="493" t="s">
        <v>2349</v>
      </c>
      <c r="D39" s="476" t="s">
        <v>2458</v>
      </c>
      <c r="E39" s="347" t="s">
        <v>2463</v>
      </c>
      <c r="F39" s="475" t="s">
        <v>2460</v>
      </c>
      <c r="G39" s="506" t="s">
        <v>2464</v>
      </c>
      <c r="H39" s="476" t="s">
        <v>2411</v>
      </c>
      <c r="I39" s="476" t="s">
        <v>19</v>
      </c>
      <c r="J39" s="500">
        <f>12215.52+6219.83+6143.42+552.93+4021.07</f>
        <v>29152.769999999997</v>
      </c>
      <c r="K39" s="501">
        <v>38.99</v>
      </c>
      <c r="L39" s="502">
        <f t="shared" si="4"/>
        <v>747.69864067709659</v>
      </c>
      <c r="M39" s="476">
        <v>60</v>
      </c>
      <c r="N39" s="503">
        <f t="shared" si="5"/>
        <v>485.87949999999995</v>
      </c>
      <c r="O39" s="504">
        <f t="shared" ref="O39:O70" ca="1" si="6">IF(B39&lt;&gt;0,(ROUND((NOW()-B39)/30,0)),0)</f>
        <v>161</v>
      </c>
      <c r="P39" s="481">
        <v>1</v>
      </c>
      <c r="Q39" s="475" t="s">
        <v>369</v>
      </c>
    </row>
    <row r="40" spans="2:24" s="283" customFormat="1" ht="40.15" customHeight="1" x14ac:dyDescent="0.2">
      <c r="B40" s="499">
        <v>41028</v>
      </c>
      <c r="C40" s="493" t="s">
        <v>2349</v>
      </c>
      <c r="D40" s="476" t="s">
        <v>2458</v>
      </c>
      <c r="E40" s="347" t="s">
        <v>2465</v>
      </c>
      <c r="F40" s="475" t="s">
        <v>2460</v>
      </c>
      <c r="G40" s="506" t="s">
        <v>2466</v>
      </c>
      <c r="H40" s="476" t="s">
        <v>2411</v>
      </c>
      <c r="I40" s="476" t="s">
        <v>19</v>
      </c>
      <c r="J40" s="500">
        <f>12215.52+6219.83+6143.42+552.93+4021.07</f>
        <v>29152.769999999997</v>
      </c>
      <c r="K40" s="501">
        <v>38.99</v>
      </c>
      <c r="L40" s="502">
        <f t="shared" si="4"/>
        <v>747.69864067709659</v>
      </c>
      <c r="M40" s="476">
        <v>60</v>
      </c>
      <c r="N40" s="503">
        <f t="shared" si="5"/>
        <v>485.87949999999995</v>
      </c>
      <c r="O40" s="504">
        <f t="shared" ca="1" si="6"/>
        <v>161</v>
      </c>
      <c r="P40" s="481">
        <v>1</v>
      </c>
      <c r="Q40" s="475" t="s">
        <v>369</v>
      </c>
      <c r="R40" s="282"/>
      <c r="S40" s="282"/>
      <c r="T40" s="282"/>
      <c r="U40" s="282"/>
      <c r="V40" s="282"/>
      <c r="W40" s="282"/>
      <c r="X40" s="282"/>
    </row>
    <row r="41" spans="2:24" s="1" customFormat="1" ht="40.15" customHeight="1" x14ac:dyDescent="0.2">
      <c r="B41" s="499">
        <v>41028</v>
      </c>
      <c r="C41" s="493" t="s">
        <v>2349</v>
      </c>
      <c r="D41" s="476" t="s">
        <v>2458</v>
      </c>
      <c r="E41" s="347" t="s">
        <v>2467</v>
      </c>
      <c r="F41" s="475" t="s">
        <v>2460</v>
      </c>
      <c r="G41" s="506" t="s">
        <v>2468</v>
      </c>
      <c r="H41" s="476" t="s">
        <v>2411</v>
      </c>
      <c r="I41" s="476" t="s">
        <v>19</v>
      </c>
      <c r="J41" s="500">
        <f>12215.52+6219.83+6143.42+552.93+4021.07</f>
        <v>29152.769999999997</v>
      </c>
      <c r="K41" s="501">
        <v>38.99</v>
      </c>
      <c r="L41" s="502">
        <f t="shared" si="4"/>
        <v>747.69864067709659</v>
      </c>
      <c r="M41" s="476">
        <v>60</v>
      </c>
      <c r="N41" s="503">
        <f t="shared" si="5"/>
        <v>485.87949999999995</v>
      </c>
      <c r="O41" s="504">
        <f t="shared" ca="1" si="6"/>
        <v>161</v>
      </c>
      <c r="P41" s="481">
        <v>1</v>
      </c>
      <c r="Q41" s="475" t="s">
        <v>369</v>
      </c>
    </row>
    <row r="42" spans="2:24" s="1" customFormat="1" ht="40.15" customHeight="1" x14ac:dyDescent="0.2">
      <c r="B42" s="499">
        <v>41028</v>
      </c>
      <c r="C42" s="493" t="s">
        <v>2349</v>
      </c>
      <c r="D42" s="476" t="s">
        <v>2458</v>
      </c>
      <c r="E42" s="347" t="s">
        <v>2469</v>
      </c>
      <c r="F42" s="475" t="s">
        <v>2460</v>
      </c>
      <c r="G42" s="506" t="s">
        <v>2470</v>
      </c>
      <c r="H42" s="476" t="s">
        <v>2411</v>
      </c>
      <c r="I42" s="476" t="s">
        <v>19</v>
      </c>
      <c r="J42" s="500">
        <f>12215.52+6219.83+6143.42+552.93+4021.07</f>
        <v>29152.769999999997</v>
      </c>
      <c r="K42" s="501">
        <v>38.99</v>
      </c>
      <c r="L42" s="502">
        <f t="shared" si="4"/>
        <v>747.69864067709659</v>
      </c>
      <c r="M42" s="476">
        <v>60</v>
      </c>
      <c r="N42" s="503">
        <f t="shared" si="5"/>
        <v>485.87949999999995</v>
      </c>
      <c r="O42" s="504">
        <f t="shared" ca="1" si="6"/>
        <v>161</v>
      </c>
      <c r="P42" s="481">
        <v>1</v>
      </c>
      <c r="Q42" s="475" t="s">
        <v>369</v>
      </c>
    </row>
    <row r="43" spans="2:24" s="1" customFormat="1" ht="40.15" customHeight="1" x14ac:dyDescent="0.2">
      <c r="B43" s="482">
        <v>41030</v>
      </c>
      <c r="C43" s="493" t="s">
        <v>2349</v>
      </c>
      <c r="D43" s="469" t="s">
        <v>2471</v>
      </c>
      <c r="E43" s="336" t="s">
        <v>2472</v>
      </c>
      <c r="F43" s="468" t="s">
        <v>2473</v>
      </c>
      <c r="G43" s="505" t="s">
        <v>28</v>
      </c>
      <c r="H43" s="469" t="s">
        <v>2411</v>
      </c>
      <c r="I43" s="469" t="s">
        <v>19</v>
      </c>
      <c r="J43" s="494">
        <f>7995+1279.2</f>
        <v>9274.2000000000007</v>
      </c>
      <c r="K43" s="495">
        <v>38.99</v>
      </c>
      <c r="L43" s="496">
        <f t="shared" si="4"/>
        <v>237.86098999743524</v>
      </c>
      <c r="M43" s="469">
        <v>60</v>
      </c>
      <c r="N43" s="483">
        <f t="shared" si="5"/>
        <v>154.57000000000002</v>
      </c>
      <c r="O43" s="497">
        <f t="shared" ca="1" si="6"/>
        <v>161</v>
      </c>
      <c r="P43" s="362">
        <v>1</v>
      </c>
      <c r="Q43" s="468" t="s">
        <v>630</v>
      </c>
    </row>
    <row r="44" spans="2:24" s="1" customFormat="1" ht="40.15" customHeight="1" x14ac:dyDescent="0.2">
      <c r="B44" s="482">
        <v>41030</v>
      </c>
      <c r="C44" s="493" t="s">
        <v>2349</v>
      </c>
      <c r="D44" s="469" t="s">
        <v>2471</v>
      </c>
      <c r="E44" s="336" t="s">
        <v>2474</v>
      </c>
      <c r="F44" s="468" t="s">
        <v>2475</v>
      </c>
      <c r="G44" s="505" t="s">
        <v>28</v>
      </c>
      <c r="H44" s="469" t="s">
        <v>2476</v>
      </c>
      <c r="I44" s="469" t="s">
        <v>19</v>
      </c>
      <c r="J44" s="494">
        <f>4300+688</f>
        <v>4988</v>
      </c>
      <c r="K44" s="495">
        <v>38.99</v>
      </c>
      <c r="L44" s="496">
        <f t="shared" si="4"/>
        <v>127.93023852269812</v>
      </c>
      <c r="M44" s="469">
        <v>60</v>
      </c>
      <c r="N44" s="483">
        <f t="shared" si="5"/>
        <v>83.13333333333334</v>
      </c>
      <c r="O44" s="497">
        <f t="shared" ca="1" si="6"/>
        <v>161</v>
      </c>
      <c r="P44" s="362">
        <v>1</v>
      </c>
      <c r="Q44" s="468" t="s">
        <v>630</v>
      </c>
    </row>
    <row r="45" spans="2:24" s="1" customFormat="1" ht="40.15" customHeight="1" x14ac:dyDescent="0.2">
      <c r="B45" s="482">
        <v>41030</v>
      </c>
      <c r="C45" s="493" t="s">
        <v>2349</v>
      </c>
      <c r="D45" s="469" t="s">
        <v>2471</v>
      </c>
      <c r="E45" s="336" t="s">
        <v>2477</v>
      </c>
      <c r="F45" s="468" t="s">
        <v>2478</v>
      </c>
      <c r="G45" s="505" t="s">
        <v>2479</v>
      </c>
      <c r="H45" s="469" t="s">
        <v>2480</v>
      </c>
      <c r="I45" s="469" t="s">
        <v>19</v>
      </c>
      <c r="J45" s="494">
        <f>5800+928</f>
        <v>6728</v>
      </c>
      <c r="K45" s="495">
        <v>38.99</v>
      </c>
      <c r="L45" s="496">
        <f t="shared" si="4"/>
        <v>172.55706591433699</v>
      </c>
      <c r="M45" s="469">
        <v>60</v>
      </c>
      <c r="N45" s="483">
        <f t="shared" si="5"/>
        <v>112.13333333333334</v>
      </c>
      <c r="O45" s="497">
        <f t="shared" ca="1" si="6"/>
        <v>161</v>
      </c>
      <c r="P45" s="362">
        <v>1</v>
      </c>
      <c r="Q45" s="468" t="s">
        <v>630</v>
      </c>
    </row>
    <row r="46" spans="2:24" s="1" customFormat="1" ht="40.15" customHeight="1" x14ac:dyDescent="0.2">
      <c r="B46" s="482">
        <v>41030</v>
      </c>
      <c r="C46" s="493" t="s">
        <v>2349</v>
      </c>
      <c r="D46" s="469" t="s">
        <v>2471</v>
      </c>
      <c r="E46" s="336" t="s">
        <v>2481</v>
      </c>
      <c r="F46" s="468" t="s">
        <v>2478</v>
      </c>
      <c r="G46" s="505" t="s">
        <v>2482</v>
      </c>
      <c r="H46" s="469" t="s">
        <v>2483</v>
      </c>
      <c r="I46" s="469" t="s">
        <v>19</v>
      </c>
      <c r="J46" s="494">
        <f>5800+928</f>
        <v>6728</v>
      </c>
      <c r="K46" s="495">
        <v>38.99</v>
      </c>
      <c r="L46" s="496">
        <f t="shared" si="4"/>
        <v>172.55706591433699</v>
      </c>
      <c r="M46" s="469">
        <v>60</v>
      </c>
      <c r="N46" s="483">
        <f t="shared" si="5"/>
        <v>112.13333333333334</v>
      </c>
      <c r="O46" s="497">
        <f t="shared" ca="1" si="6"/>
        <v>161</v>
      </c>
      <c r="P46" s="362">
        <v>1</v>
      </c>
      <c r="Q46" s="468" t="s">
        <v>630</v>
      </c>
    </row>
    <row r="47" spans="2:24" s="1" customFormat="1" ht="40.15" customHeight="1" x14ac:dyDescent="0.2">
      <c r="B47" s="482">
        <v>41614</v>
      </c>
      <c r="C47" s="493" t="s">
        <v>2349</v>
      </c>
      <c r="D47" s="469" t="s">
        <v>2484</v>
      </c>
      <c r="E47" s="336" t="s">
        <v>2485</v>
      </c>
      <c r="F47" s="470" t="s">
        <v>2486</v>
      </c>
      <c r="G47" s="469" t="s">
        <v>2487</v>
      </c>
      <c r="H47" s="469" t="s">
        <v>2411</v>
      </c>
      <c r="I47" s="469" t="s">
        <v>19</v>
      </c>
      <c r="J47" s="354">
        <v>73254.399999999994</v>
      </c>
      <c r="K47" s="354">
        <v>42.53</v>
      </c>
      <c r="L47" s="496">
        <f t="shared" si="4"/>
        <v>1722.4171173289442</v>
      </c>
      <c r="M47" s="469">
        <v>60</v>
      </c>
      <c r="N47" s="483">
        <f t="shared" si="5"/>
        <v>1220.9066666666665</v>
      </c>
      <c r="O47" s="497">
        <f t="shared" ca="1" si="6"/>
        <v>141</v>
      </c>
      <c r="P47" s="362">
        <v>1</v>
      </c>
      <c r="Q47" s="468" t="s">
        <v>2488</v>
      </c>
    </row>
    <row r="48" spans="2:24" s="1" customFormat="1" ht="40.15" customHeight="1" x14ac:dyDescent="0.2">
      <c r="B48" s="482">
        <v>41621</v>
      </c>
      <c r="C48" s="493" t="s">
        <v>2349</v>
      </c>
      <c r="D48" s="469" t="s">
        <v>2489</v>
      </c>
      <c r="E48" s="336" t="s">
        <v>2490</v>
      </c>
      <c r="F48" s="470" t="s">
        <v>2491</v>
      </c>
      <c r="G48" s="469" t="s">
        <v>28</v>
      </c>
      <c r="H48" s="336" t="s">
        <v>2492</v>
      </c>
      <c r="I48" s="469" t="s">
        <v>19</v>
      </c>
      <c r="J48" s="354">
        <f>31470.6/7</f>
        <v>4495.8</v>
      </c>
      <c r="K48" s="354">
        <v>42.56</v>
      </c>
      <c r="L48" s="496">
        <f t="shared" si="4"/>
        <v>105.63439849624061</v>
      </c>
      <c r="M48" s="469">
        <v>60</v>
      </c>
      <c r="N48" s="483">
        <f t="shared" si="5"/>
        <v>74.930000000000007</v>
      </c>
      <c r="O48" s="497">
        <f t="shared" ca="1" si="6"/>
        <v>141</v>
      </c>
      <c r="P48" s="362">
        <v>1</v>
      </c>
      <c r="Q48" s="468" t="s">
        <v>2493</v>
      </c>
    </row>
    <row r="49" spans="2:17" s="1" customFormat="1" ht="40.15" customHeight="1" x14ac:dyDescent="0.2">
      <c r="B49" s="482">
        <v>41621</v>
      </c>
      <c r="C49" s="493" t="s">
        <v>2349</v>
      </c>
      <c r="D49" s="469" t="s">
        <v>2489</v>
      </c>
      <c r="E49" s="336" t="s">
        <v>2494</v>
      </c>
      <c r="F49" s="470" t="s">
        <v>2491</v>
      </c>
      <c r="G49" s="469" t="s">
        <v>28</v>
      </c>
      <c r="H49" s="469" t="s">
        <v>60</v>
      </c>
      <c r="I49" s="469" t="s">
        <v>19</v>
      </c>
      <c r="J49" s="354">
        <f>31470.6/7</f>
        <v>4495.8</v>
      </c>
      <c r="K49" s="354">
        <v>42.56</v>
      </c>
      <c r="L49" s="496">
        <f t="shared" si="4"/>
        <v>105.63439849624061</v>
      </c>
      <c r="M49" s="469">
        <v>60</v>
      </c>
      <c r="N49" s="483">
        <f t="shared" si="5"/>
        <v>74.930000000000007</v>
      </c>
      <c r="O49" s="497">
        <f t="shared" ca="1" si="6"/>
        <v>141</v>
      </c>
      <c r="P49" s="362">
        <v>1</v>
      </c>
      <c r="Q49" s="468" t="s">
        <v>2493</v>
      </c>
    </row>
    <row r="50" spans="2:17" s="1" customFormat="1" ht="40.15" customHeight="1" x14ac:dyDescent="0.2">
      <c r="B50" s="482">
        <v>41621</v>
      </c>
      <c r="C50" s="493" t="s">
        <v>2349</v>
      </c>
      <c r="D50" s="469" t="s">
        <v>2489</v>
      </c>
      <c r="E50" s="336" t="s">
        <v>2495</v>
      </c>
      <c r="F50" s="470" t="s">
        <v>2491</v>
      </c>
      <c r="G50" s="469" t="s">
        <v>28</v>
      </c>
      <c r="H50" s="469" t="s">
        <v>2496</v>
      </c>
      <c r="I50" s="469" t="s">
        <v>19</v>
      </c>
      <c r="J50" s="354">
        <f>31470.6/7</f>
        <v>4495.8</v>
      </c>
      <c r="K50" s="354">
        <v>42.56</v>
      </c>
      <c r="L50" s="496">
        <f t="shared" si="4"/>
        <v>105.63439849624061</v>
      </c>
      <c r="M50" s="469">
        <v>60</v>
      </c>
      <c r="N50" s="483">
        <f t="shared" si="5"/>
        <v>74.930000000000007</v>
      </c>
      <c r="O50" s="497">
        <f t="shared" ca="1" si="6"/>
        <v>141</v>
      </c>
      <c r="P50" s="362">
        <v>1</v>
      </c>
      <c r="Q50" s="468" t="s">
        <v>2493</v>
      </c>
    </row>
    <row r="51" spans="2:17" s="1" customFormat="1" ht="40.15" customHeight="1" x14ac:dyDescent="0.2">
      <c r="B51" s="482">
        <v>41621</v>
      </c>
      <c r="C51" s="493" t="s">
        <v>2349</v>
      </c>
      <c r="D51" s="469" t="s">
        <v>2489</v>
      </c>
      <c r="E51" s="336" t="s">
        <v>2497</v>
      </c>
      <c r="F51" s="470" t="s">
        <v>2491</v>
      </c>
      <c r="G51" s="469" t="s">
        <v>28</v>
      </c>
      <c r="H51" s="336" t="s">
        <v>2492</v>
      </c>
      <c r="I51" s="469" t="s">
        <v>19</v>
      </c>
      <c r="J51" s="354">
        <f>31470.6/7</f>
        <v>4495.8</v>
      </c>
      <c r="K51" s="354">
        <v>42.56</v>
      </c>
      <c r="L51" s="496">
        <f t="shared" si="4"/>
        <v>105.63439849624061</v>
      </c>
      <c r="M51" s="469">
        <v>60</v>
      </c>
      <c r="N51" s="483">
        <f t="shared" si="5"/>
        <v>74.930000000000007</v>
      </c>
      <c r="O51" s="497">
        <f t="shared" ca="1" si="6"/>
        <v>141</v>
      </c>
      <c r="P51" s="362">
        <v>1</v>
      </c>
      <c r="Q51" s="468" t="s">
        <v>2493</v>
      </c>
    </row>
    <row r="52" spans="2:17" s="1" customFormat="1" ht="40.15" customHeight="1" x14ac:dyDescent="0.2">
      <c r="B52" s="482">
        <v>41621</v>
      </c>
      <c r="C52" s="493" t="s">
        <v>2349</v>
      </c>
      <c r="D52" s="469" t="s">
        <v>2489</v>
      </c>
      <c r="E52" s="336" t="s">
        <v>2498</v>
      </c>
      <c r="F52" s="470" t="s">
        <v>2491</v>
      </c>
      <c r="G52" s="469" t="s">
        <v>28</v>
      </c>
      <c r="H52" s="336" t="s">
        <v>2492</v>
      </c>
      <c r="I52" s="469" t="s">
        <v>19</v>
      </c>
      <c r="J52" s="354">
        <f>31470.6/7</f>
        <v>4495.8</v>
      </c>
      <c r="K52" s="354">
        <v>42.56</v>
      </c>
      <c r="L52" s="496">
        <f t="shared" si="4"/>
        <v>105.63439849624061</v>
      </c>
      <c r="M52" s="469">
        <v>60</v>
      </c>
      <c r="N52" s="483">
        <f t="shared" si="5"/>
        <v>74.930000000000007</v>
      </c>
      <c r="O52" s="497">
        <f t="shared" ca="1" si="6"/>
        <v>141</v>
      </c>
      <c r="P52" s="362">
        <v>1</v>
      </c>
      <c r="Q52" s="468" t="s">
        <v>2493</v>
      </c>
    </row>
    <row r="53" spans="2:17" s="1" customFormat="1" ht="40.15" customHeight="1" x14ac:dyDescent="0.2">
      <c r="B53" s="482">
        <v>41654</v>
      </c>
      <c r="C53" s="493" t="s">
        <v>2349</v>
      </c>
      <c r="D53" s="469" t="s">
        <v>2499</v>
      </c>
      <c r="E53" s="336" t="s">
        <v>2500</v>
      </c>
      <c r="F53" s="470" t="s">
        <v>2501</v>
      </c>
      <c r="G53" s="469" t="s">
        <v>2502</v>
      </c>
      <c r="H53" s="469" t="s">
        <v>2503</v>
      </c>
      <c r="I53" s="469" t="s">
        <v>19</v>
      </c>
      <c r="J53" s="354">
        <v>563650.01</v>
      </c>
      <c r="K53" s="354">
        <v>42.85</v>
      </c>
      <c r="L53" s="496">
        <f t="shared" si="4"/>
        <v>13154.025904317386</v>
      </c>
      <c r="M53" s="469">
        <v>60</v>
      </c>
      <c r="N53" s="483">
        <f t="shared" si="5"/>
        <v>9394.1668333333328</v>
      </c>
      <c r="O53" s="497">
        <f t="shared" ca="1" si="6"/>
        <v>140</v>
      </c>
      <c r="P53" s="362">
        <v>1</v>
      </c>
      <c r="Q53" s="468" t="s">
        <v>770</v>
      </c>
    </row>
    <row r="54" spans="2:17" s="1" customFormat="1" ht="48" customHeight="1" x14ac:dyDescent="0.2">
      <c r="B54" s="482">
        <v>41663</v>
      </c>
      <c r="C54" s="493" t="s">
        <v>2349</v>
      </c>
      <c r="D54" s="469" t="s">
        <v>2504</v>
      </c>
      <c r="E54" s="336" t="s">
        <v>2412</v>
      </c>
      <c r="F54" s="470" t="s">
        <v>2505</v>
      </c>
      <c r="G54" s="469" t="s">
        <v>2506</v>
      </c>
      <c r="H54" s="469" t="s">
        <v>2507</v>
      </c>
      <c r="I54" s="469" t="s">
        <v>2508</v>
      </c>
      <c r="J54" s="354">
        <v>36200.019999999997</v>
      </c>
      <c r="K54" s="354">
        <v>42.95</v>
      </c>
      <c r="L54" s="496">
        <f t="shared" si="4"/>
        <v>842.84097788125712</v>
      </c>
      <c r="M54" s="469">
        <v>60</v>
      </c>
      <c r="N54" s="483">
        <f t="shared" si="5"/>
        <v>603.33366666666666</v>
      </c>
      <c r="O54" s="497">
        <f t="shared" ca="1" si="6"/>
        <v>140</v>
      </c>
      <c r="P54" s="362">
        <v>1</v>
      </c>
      <c r="Q54" s="468" t="s">
        <v>2509</v>
      </c>
    </row>
    <row r="55" spans="2:17" s="1" customFormat="1" ht="40.15" customHeight="1" x14ac:dyDescent="0.2">
      <c r="B55" s="482">
        <v>41666</v>
      </c>
      <c r="C55" s="493" t="s">
        <v>2349</v>
      </c>
      <c r="D55" s="469" t="s">
        <v>2510</v>
      </c>
      <c r="E55" s="336" t="s">
        <v>2511</v>
      </c>
      <c r="F55" s="470" t="s">
        <v>2512</v>
      </c>
      <c r="G55" s="469" t="s">
        <v>2513</v>
      </c>
      <c r="H55" s="469" t="s">
        <v>742</v>
      </c>
      <c r="I55" s="469" t="s">
        <v>19</v>
      </c>
      <c r="J55" s="354">
        <v>324818.59999999998</v>
      </c>
      <c r="K55" s="354">
        <v>42.98</v>
      </c>
      <c r="L55" s="496">
        <f t="shared" si="4"/>
        <v>7557.4360167519781</v>
      </c>
      <c r="M55" s="469">
        <v>60</v>
      </c>
      <c r="N55" s="483">
        <f t="shared" si="5"/>
        <v>5413.6433333333325</v>
      </c>
      <c r="O55" s="497">
        <f t="shared" ca="1" si="6"/>
        <v>139</v>
      </c>
      <c r="P55" s="362">
        <v>1</v>
      </c>
      <c r="Q55" s="468" t="s">
        <v>2488</v>
      </c>
    </row>
    <row r="56" spans="2:17" s="1" customFormat="1" ht="40.15" customHeight="1" x14ac:dyDescent="0.2">
      <c r="B56" s="334">
        <v>41682</v>
      </c>
      <c r="C56" s="493" t="s">
        <v>2349</v>
      </c>
      <c r="D56" s="336" t="s">
        <v>2514</v>
      </c>
      <c r="E56" s="336" t="s">
        <v>2515</v>
      </c>
      <c r="F56" s="335" t="s">
        <v>2516</v>
      </c>
      <c r="G56" s="336" t="s">
        <v>2517</v>
      </c>
      <c r="H56" s="336" t="s">
        <v>2518</v>
      </c>
      <c r="I56" s="336" t="s">
        <v>2519</v>
      </c>
      <c r="J56" s="471">
        <v>6230.4</v>
      </c>
      <c r="K56" s="471">
        <v>43.1</v>
      </c>
      <c r="L56" s="507">
        <f t="shared" ref="L56:L83" si="7">+J56/K56</f>
        <v>144.5568445475638</v>
      </c>
      <c r="M56" s="336">
        <v>60</v>
      </c>
      <c r="N56" s="343">
        <f t="shared" ref="N56:N83" si="8">IF(AND(J56&lt;&gt;0,M56&lt;&gt;0),J56/M56,0)</f>
        <v>103.83999999999999</v>
      </c>
      <c r="O56" s="428">
        <f t="shared" ca="1" si="6"/>
        <v>139</v>
      </c>
      <c r="P56" s="362">
        <v>1</v>
      </c>
      <c r="Q56" s="337" t="s">
        <v>2520</v>
      </c>
    </row>
    <row r="57" spans="2:17" s="1" customFormat="1" ht="40.15" customHeight="1" x14ac:dyDescent="0.2">
      <c r="B57" s="334">
        <v>41682</v>
      </c>
      <c r="C57" s="493" t="s">
        <v>2349</v>
      </c>
      <c r="D57" s="336" t="s">
        <v>2514</v>
      </c>
      <c r="E57" s="336" t="s">
        <v>2521</v>
      </c>
      <c r="F57" s="335" t="s">
        <v>2516</v>
      </c>
      <c r="G57" s="336" t="s">
        <v>2522</v>
      </c>
      <c r="H57" s="336" t="s">
        <v>2523</v>
      </c>
      <c r="I57" s="336" t="s">
        <v>2524</v>
      </c>
      <c r="J57" s="471">
        <v>6230.4</v>
      </c>
      <c r="K57" s="471">
        <v>43.1</v>
      </c>
      <c r="L57" s="507">
        <f t="shared" si="7"/>
        <v>144.5568445475638</v>
      </c>
      <c r="M57" s="336">
        <v>60</v>
      </c>
      <c r="N57" s="343">
        <f t="shared" si="8"/>
        <v>103.83999999999999</v>
      </c>
      <c r="O57" s="428">
        <f t="shared" ca="1" si="6"/>
        <v>139</v>
      </c>
      <c r="P57" s="362">
        <v>1</v>
      </c>
      <c r="Q57" s="337" t="s">
        <v>2520</v>
      </c>
    </row>
    <row r="58" spans="2:17" s="1" customFormat="1" ht="40.15" customHeight="1" x14ac:dyDescent="0.2">
      <c r="B58" s="334">
        <v>41682</v>
      </c>
      <c r="C58" s="493" t="s">
        <v>2349</v>
      </c>
      <c r="D58" s="336" t="s">
        <v>2514</v>
      </c>
      <c r="E58" s="336" t="s">
        <v>2525</v>
      </c>
      <c r="F58" s="335" t="s">
        <v>2516</v>
      </c>
      <c r="G58" s="336" t="s">
        <v>2526</v>
      </c>
      <c r="H58" s="336" t="s">
        <v>2507</v>
      </c>
      <c r="I58" s="336" t="s">
        <v>2508</v>
      </c>
      <c r="J58" s="471">
        <v>6230.4</v>
      </c>
      <c r="K58" s="471">
        <v>43.1</v>
      </c>
      <c r="L58" s="507">
        <f t="shared" si="7"/>
        <v>144.5568445475638</v>
      </c>
      <c r="M58" s="336">
        <v>60</v>
      </c>
      <c r="N58" s="343">
        <f t="shared" si="8"/>
        <v>103.83999999999999</v>
      </c>
      <c r="O58" s="428">
        <f t="shared" ca="1" si="6"/>
        <v>139</v>
      </c>
      <c r="P58" s="362">
        <v>1</v>
      </c>
      <c r="Q58" s="337" t="s">
        <v>2520</v>
      </c>
    </row>
    <row r="59" spans="2:17" s="1" customFormat="1" ht="40.15" customHeight="1" x14ac:dyDescent="0.2">
      <c r="B59" s="334">
        <v>41682</v>
      </c>
      <c r="C59" s="493" t="s">
        <v>2349</v>
      </c>
      <c r="D59" s="336" t="s">
        <v>2514</v>
      </c>
      <c r="E59" s="336" t="s">
        <v>2527</v>
      </c>
      <c r="F59" s="335" t="s">
        <v>2516</v>
      </c>
      <c r="G59" s="336" t="s">
        <v>2528</v>
      </c>
      <c r="H59" s="336" t="s">
        <v>2529</v>
      </c>
      <c r="I59" s="336" t="s">
        <v>2389</v>
      </c>
      <c r="J59" s="471">
        <v>6230.4</v>
      </c>
      <c r="K59" s="471">
        <v>43.1</v>
      </c>
      <c r="L59" s="507">
        <f t="shared" si="7"/>
        <v>144.5568445475638</v>
      </c>
      <c r="M59" s="336">
        <v>60</v>
      </c>
      <c r="N59" s="343">
        <f t="shared" si="8"/>
        <v>103.83999999999999</v>
      </c>
      <c r="O59" s="428">
        <f t="shared" ca="1" si="6"/>
        <v>139</v>
      </c>
      <c r="P59" s="362">
        <v>1</v>
      </c>
      <c r="Q59" s="337" t="s">
        <v>2520</v>
      </c>
    </row>
    <row r="60" spans="2:17" s="1" customFormat="1" ht="40.15" customHeight="1" x14ac:dyDescent="0.2">
      <c r="B60" s="334">
        <v>41682</v>
      </c>
      <c r="C60" s="493" t="s">
        <v>2349</v>
      </c>
      <c r="D60" s="336" t="s">
        <v>2514</v>
      </c>
      <c r="E60" s="336" t="s">
        <v>2420</v>
      </c>
      <c r="F60" s="335" t="s">
        <v>2516</v>
      </c>
      <c r="G60" s="336" t="s">
        <v>2530</v>
      </c>
      <c r="H60" s="336" t="s">
        <v>2531</v>
      </c>
      <c r="I60" s="336" t="s">
        <v>2377</v>
      </c>
      <c r="J60" s="471">
        <v>6230.4</v>
      </c>
      <c r="K60" s="471">
        <v>43.1</v>
      </c>
      <c r="L60" s="507">
        <f t="shared" si="7"/>
        <v>144.5568445475638</v>
      </c>
      <c r="M60" s="336">
        <v>60</v>
      </c>
      <c r="N60" s="343">
        <f t="shared" si="8"/>
        <v>103.83999999999999</v>
      </c>
      <c r="O60" s="428">
        <f t="shared" ca="1" si="6"/>
        <v>139</v>
      </c>
      <c r="P60" s="362">
        <v>1</v>
      </c>
      <c r="Q60" s="337" t="s">
        <v>2520</v>
      </c>
    </row>
    <row r="61" spans="2:17" s="1" customFormat="1" ht="40.15" customHeight="1" x14ac:dyDescent="0.2">
      <c r="B61" s="334">
        <v>41682</v>
      </c>
      <c r="C61" s="493" t="s">
        <v>2349</v>
      </c>
      <c r="D61" s="336" t="s">
        <v>2532</v>
      </c>
      <c r="E61" s="336" t="s">
        <v>2423</v>
      </c>
      <c r="F61" s="335" t="s">
        <v>2533</v>
      </c>
      <c r="G61" s="336" t="s">
        <v>2534</v>
      </c>
      <c r="H61" s="336" t="s">
        <v>2535</v>
      </c>
      <c r="I61" s="336" t="s">
        <v>2536</v>
      </c>
      <c r="J61" s="471">
        <f t="shared" ref="J61:J66" si="9">126000/6</f>
        <v>21000</v>
      </c>
      <c r="K61" s="471">
        <v>43.1</v>
      </c>
      <c r="L61" s="507">
        <f t="shared" si="7"/>
        <v>487.23897911832944</v>
      </c>
      <c r="M61" s="336">
        <v>60</v>
      </c>
      <c r="N61" s="343">
        <f t="shared" si="8"/>
        <v>350</v>
      </c>
      <c r="O61" s="428">
        <f t="shared" ca="1" si="6"/>
        <v>139</v>
      </c>
      <c r="P61" s="362">
        <v>1</v>
      </c>
      <c r="Q61" s="337" t="s">
        <v>369</v>
      </c>
    </row>
    <row r="62" spans="2:17" s="1" customFormat="1" ht="40.15" customHeight="1" x14ac:dyDescent="0.2">
      <c r="B62" s="334">
        <v>41683</v>
      </c>
      <c r="C62" s="493" t="s">
        <v>2349</v>
      </c>
      <c r="D62" s="336" t="s">
        <v>2532</v>
      </c>
      <c r="E62" s="336" t="s">
        <v>2426</v>
      </c>
      <c r="F62" s="335" t="s">
        <v>2533</v>
      </c>
      <c r="G62" s="336" t="s">
        <v>2537</v>
      </c>
      <c r="H62" s="336" t="s">
        <v>2518</v>
      </c>
      <c r="I62" s="336" t="s">
        <v>2519</v>
      </c>
      <c r="J62" s="471">
        <f t="shared" si="9"/>
        <v>21000</v>
      </c>
      <c r="K62" s="471">
        <v>43.1</v>
      </c>
      <c r="L62" s="507">
        <f t="shared" si="7"/>
        <v>487.23897911832944</v>
      </c>
      <c r="M62" s="336">
        <v>60</v>
      </c>
      <c r="N62" s="343">
        <f t="shared" si="8"/>
        <v>350</v>
      </c>
      <c r="O62" s="428">
        <f t="shared" ca="1" si="6"/>
        <v>139</v>
      </c>
      <c r="P62" s="362">
        <v>1</v>
      </c>
      <c r="Q62" s="337" t="s">
        <v>369</v>
      </c>
    </row>
    <row r="63" spans="2:17" s="1" customFormat="1" ht="40.15" customHeight="1" x14ac:dyDescent="0.2">
      <c r="B63" s="334">
        <v>41683</v>
      </c>
      <c r="C63" s="493" t="s">
        <v>2349</v>
      </c>
      <c r="D63" s="336" t="s">
        <v>2532</v>
      </c>
      <c r="E63" s="336" t="s">
        <v>2429</v>
      </c>
      <c r="F63" s="335" t="s">
        <v>2533</v>
      </c>
      <c r="G63" s="336" t="s">
        <v>2538</v>
      </c>
      <c r="H63" s="336" t="s">
        <v>2539</v>
      </c>
      <c r="I63" s="336" t="s">
        <v>2381</v>
      </c>
      <c r="J63" s="471">
        <f t="shared" si="9"/>
        <v>21000</v>
      </c>
      <c r="K63" s="471">
        <v>43.1</v>
      </c>
      <c r="L63" s="507">
        <f t="shared" si="7"/>
        <v>487.23897911832944</v>
      </c>
      <c r="M63" s="336">
        <v>60</v>
      </c>
      <c r="N63" s="343">
        <f t="shared" si="8"/>
        <v>350</v>
      </c>
      <c r="O63" s="428">
        <f t="shared" ca="1" si="6"/>
        <v>139</v>
      </c>
      <c r="P63" s="362">
        <v>1</v>
      </c>
      <c r="Q63" s="337" t="s">
        <v>369</v>
      </c>
    </row>
    <row r="64" spans="2:17" s="1" customFormat="1" ht="40.15" customHeight="1" x14ac:dyDescent="0.2">
      <c r="B64" s="334">
        <v>41683</v>
      </c>
      <c r="C64" s="493" t="s">
        <v>2349</v>
      </c>
      <c r="D64" s="336" t="s">
        <v>2532</v>
      </c>
      <c r="E64" s="336" t="s">
        <v>2432</v>
      </c>
      <c r="F64" s="335" t="s">
        <v>2533</v>
      </c>
      <c r="G64" s="336" t="s">
        <v>2540</v>
      </c>
      <c r="H64" s="336" t="s">
        <v>2507</v>
      </c>
      <c r="I64" s="336" t="s">
        <v>2508</v>
      </c>
      <c r="J64" s="471">
        <f t="shared" si="9"/>
        <v>21000</v>
      </c>
      <c r="K64" s="471">
        <v>43.1</v>
      </c>
      <c r="L64" s="507">
        <f t="shared" si="7"/>
        <v>487.23897911832944</v>
      </c>
      <c r="M64" s="336">
        <v>60</v>
      </c>
      <c r="N64" s="343">
        <f t="shared" si="8"/>
        <v>350</v>
      </c>
      <c r="O64" s="428">
        <f t="shared" ca="1" si="6"/>
        <v>139</v>
      </c>
      <c r="P64" s="362">
        <v>1</v>
      </c>
      <c r="Q64" s="337" t="s">
        <v>369</v>
      </c>
    </row>
    <row r="65" spans="2:17" s="1" customFormat="1" ht="40.15" customHeight="1" x14ac:dyDescent="0.2">
      <c r="B65" s="334">
        <v>41683</v>
      </c>
      <c r="C65" s="493" t="s">
        <v>2349</v>
      </c>
      <c r="D65" s="336" t="s">
        <v>2532</v>
      </c>
      <c r="E65" s="336" t="s">
        <v>2434</v>
      </c>
      <c r="F65" s="335" t="s">
        <v>2533</v>
      </c>
      <c r="G65" s="336" t="s">
        <v>2541</v>
      </c>
      <c r="H65" s="336" t="s">
        <v>2529</v>
      </c>
      <c r="I65" s="336" t="s">
        <v>2389</v>
      </c>
      <c r="J65" s="471">
        <f t="shared" si="9"/>
        <v>21000</v>
      </c>
      <c r="K65" s="471">
        <v>43.1</v>
      </c>
      <c r="L65" s="507">
        <f t="shared" si="7"/>
        <v>487.23897911832944</v>
      </c>
      <c r="M65" s="336">
        <v>60</v>
      </c>
      <c r="N65" s="343">
        <f t="shared" si="8"/>
        <v>350</v>
      </c>
      <c r="O65" s="428">
        <f t="shared" ca="1" si="6"/>
        <v>139</v>
      </c>
      <c r="P65" s="362">
        <v>1</v>
      </c>
      <c r="Q65" s="337" t="s">
        <v>369</v>
      </c>
    </row>
    <row r="66" spans="2:17" s="1" customFormat="1" ht="40.15" customHeight="1" x14ac:dyDescent="0.2">
      <c r="B66" s="334">
        <v>41683</v>
      </c>
      <c r="C66" s="493" t="s">
        <v>2349</v>
      </c>
      <c r="D66" s="336" t="s">
        <v>2532</v>
      </c>
      <c r="E66" s="336" t="s">
        <v>2542</v>
      </c>
      <c r="F66" s="335" t="s">
        <v>2533</v>
      </c>
      <c r="G66" s="336" t="s">
        <v>2543</v>
      </c>
      <c r="H66" s="336" t="s">
        <v>2531</v>
      </c>
      <c r="I66" s="336" t="s">
        <v>2377</v>
      </c>
      <c r="J66" s="471">
        <f t="shared" si="9"/>
        <v>21000</v>
      </c>
      <c r="K66" s="471">
        <v>43.1</v>
      </c>
      <c r="L66" s="507">
        <f t="shared" si="7"/>
        <v>487.23897911832944</v>
      </c>
      <c r="M66" s="336">
        <v>60</v>
      </c>
      <c r="N66" s="343">
        <f t="shared" si="8"/>
        <v>350</v>
      </c>
      <c r="O66" s="428">
        <f t="shared" ca="1" si="6"/>
        <v>139</v>
      </c>
      <c r="P66" s="362">
        <v>1</v>
      </c>
      <c r="Q66" s="337" t="s">
        <v>369</v>
      </c>
    </row>
    <row r="67" spans="2:17" s="1" customFormat="1" ht="40.15" customHeight="1" x14ac:dyDescent="0.2">
      <c r="B67" s="334">
        <v>41683</v>
      </c>
      <c r="C67" s="493" t="s">
        <v>2349</v>
      </c>
      <c r="D67" s="336" t="s">
        <v>2532</v>
      </c>
      <c r="E67" s="336" t="s">
        <v>2437</v>
      </c>
      <c r="F67" s="335" t="s">
        <v>2544</v>
      </c>
      <c r="G67" s="353" t="s">
        <v>2545</v>
      </c>
      <c r="H67" s="336" t="s">
        <v>2535</v>
      </c>
      <c r="I67" s="336" t="s">
        <v>2536</v>
      </c>
      <c r="J67" s="471">
        <f>14300/11</f>
        <v>1300</v>
      </c>
      <c r="K67" s="471">
        <v>43.1</v>
      </c>
      <c r="L67" s="507">
        <f t="shared" si="7"/>
        <v>30.162412993039442</v>
      </c>
      <c r="M67" s="336">
        <v>36</v>
      </c>
      <c r="N67" s="343">
        <f t="shared" si="8"/>
        <v>36.111111111111114</v>
      </c>
      <c r="O67" s="428">
        <f t="shared" ca="1" si="6"/>
        <v>139</v>
      </c>
      <c r="P67" s="362">
        <v>1</v>
      </c>
      <c r="Q67" s="337" t="s">
        <v>369</v>
      </c>
    </row>
    <row r="68" spans="2:17" s="1" customFormat="1" ht="40.15" customHeight="1" x14ac:dyDescent="0.2">
      <c r="B68" s="334">
        <v>41683</v>
      </c>
      <c r="C68" s="493" t="s">
        <v>2349</v>
      </c>
      <c r="D68" s="336" t="s">
        <v>2532</v>
      </c>
      <c r="E68" s="336" t="s">
        <v>2439</v>
      </c>
      <c r="F68" s="335" t="s">
        <v>2544</v>
      </c>
      <c r="G68" s="353" t="s">
        <v>2546</v>
      </c>
      <c r="H68" s="336" t="s">
        <v>2547</v>
      </c>
      <c r="I68" s="336" t="s">
        <v>2548</v>
      </c>
      <c r="J68" s="471">
        <f t="shared" ref="J68:J77" si="10">14300/11</f>
        <v>1300</v>
      </c>
      <c r="K68" s="471">
        <v>43.1</v>
      </c>
      <c r="L68" s="507">
        <f t="shared" si="7"/>
        <v>30.162412993039442</v>
      </c>
      <c r="M68" s="336">
        <v>36</v>
      </c>
      <c r="N68" s="343">
        <f t="shared" si="8"/>
        <v>36.111111111111114</v>
      </c>
      <c r="O68" s="428">
        <f t="shared" ca="1" si="6"/>
        <v>139</v>
      </c>
      <c r="P68" s="362">
        <v>1</v>
      </c>
      <c r="Q68" s="337" t="s">
        <v>369</v>
      </c>
    </row>
    <row r="69" spans="2:17" s="1" customFormat="1" ht="40.15" customHeight="1" x14ac:dyDescent="0.2">
      <c r="B69" s="334">
        <v>41683</v>
      </c>
      <c r="C69" s="493" t="s">
        <v>2349</v>
      </c>
      <c r="D69" s="336" t="s">
        <v>2532</v>
      </c>
      <c r="E69" s="336" t="s">
        <v>2441</v>
      </c>
      <c r="F69" s="335" t="s">
        <v>2544</v>
      </c>
      <c r="G69" s="353" t="s">
        <v>2549</v>
      </c>
      <c r="H69" s="336" t="s">
        <v>2550</v>
      </c>
      <c r="I69" s="336" t="s">
        <v>2551</v>
      </c>
      <c r="J69" s="471">
        <f t="shared" si="10"/>
        <v>1300</v>
      </c>
      <c r="K69" s="471">
        <v>43.1</v>
      </c>
      <c r="L69" s="507">
        <f t="shared" si="7"/>
        <v>30.162412993039442</v>
      </c>
      <c r="M69" s="336">
        <v>36</v>
      </c>
      <c r="N69" s="343">
        <f t="shared" si="8"/>
        <v>36.111111111111114</v>
      </c>
      <c r="O69" s="428">
        <f t="shared" ca="1" si="6"/>
        <v>139</v>
      </c>
      <c r="P69" s="362">
        <v>1</v>
      </c>
      <c r="Q69" s="337" t="s">
        <v>369</v>
      </c>
    </row>
    <row r="70" spans="2:17" s="1" customFormat="1" ht="40.15" customHeight="1" x14ac:dyDescent="0.2">
      <c r="B70" s="334">
        <v>41683</v>
      </c>
      <c r="C70" s="493" t="s">
        <v>2349</v>
      </c>
      <c r="D70" s="336" t="s">
        <v>2532</v>
      </c>
      <c r="E70" s="336" t="s">
        <v>2445</v>
      </c>
      <c r="F70" s="335" t="s">
        <v>2544</v>
      </c>
      <c r="G70" s="353" t="s">
        <v>2552</v>
      </c>
      <c r="H70" s="336" t="s">
        <v>2523</v>
      </c>
      <c r="I70" s="336" t="s">
        <v>2524</v>
      </c>
      <c r="J70" s="471">
        <f t="shared" si="10"/>
        <v>1300</v>
      </c>
      <c r="K70" s="471">
        <v>43.1</v>
      </c>
      <c r="L70" s="507">
        <f t="shared" si="7"/>
        <v>30.162412993039442</v>
      </c>
      <c r="M70" s="336">
        <v>36</v>
      </c>
      <c r="N70" s="343">
        <f t="shared" si="8"/>
        <v>36.111111111111114</v>
      </c>
      <c r="O70" s="428">
        <f t="shared" ca="1" si="6"/>
        <v>139</v>
      </c>
      <c r="P70" s="362">
        <v>1</v>
      </c>
      <c r="Q70" s="337" t="s">
        <v>369</v>
      </c>
    </row>
    <row r="71" spans="2:17" s="1" customFormat="1" ht="40.15" customHeight="1" x14ac:dyDescent="0.2">
      <c r="B71" s="334">
        <v>41683</v>
      </c>
      <c r="C71" s="493" t="s">
        <v>2349</v>
      </c>
      <c r="D71" s="336" t="s">
        <v>2532</v>
      </c>
      <c r="E71" s="336" t="s">
        <v>2447</v>
      </c>
      <c r="F71" s="335" t="s">
        <v>2544</v>
      </c>
      <c r="G71" s="353" t="s">
        <v>2553</v>
      </c>
      <c r="H71" s="336" t="s">
        <v>2523</v>
      </c>
      <c r="I71" s="336" t="s">
        <v>2524</v>
      </c>
      <c r="J71" s="471">
        <f t="shared" si="10"/>
        <v>1300</v>
      </c>
      <c r="K71" s="471">
        <v>43.1</v>
      </c>
      <c r="L71" s="507">
        <f t="shared" si="7"/>
        <v>30.162412993039442</v>
      </c>
      <c r="M71" s="336">
        <v>36</v>
      </c>
      <c r="N71" s="343">
        <f t="shared" si="8"/>
        <v>36.111111111111114</v>
      </c>
      <c r="O71" s="428">
        <f t="shared" ref="O71:O102" ca="1" si="11">IF(B71&lt;&gt;0,(ROUND((NOW()-B71)/30,0)),0)</f>
        <v>139</v>
      </c>
      <c r="P71" s="362">
        <v>1</v>
      </c>
      <c r="Q71" s="337" t="s">
        <v>369</v>
      </c>
    </row>
    <row r="72" spans="2:17" s="1" customFormat="1" ht="40.15" customHeight="1" x14ac:dyDescent="0.2">
      <c r="B72" s="334">
        <v>41683</v>
      </c>
      <c r="C72" s="493" t="s">
        <v>2349</v>
      </c>
      <c r="D72" s="336" t="s">
        <v>2532</v>
      </c>
      <c r="E72" s="336" t="s">
        <v>2554</v>
      </c>
      <c r="F72" s="335" t="s">
        <v>2544</v>
      </c>
      <c r="G72" s="353" t="s">
        <v>2555</v>
      </c>
      <c r="H72" s="336" t="s">
        <v>2507</v>
      </c>
      <c r="I72" s="336" t="s">
        <v>2508</v>
      </c>
      <c r="J72" s="471">
        <f t="shared" si="10"/>
        <v>1300</v>
      </c>
      <c r="K72" s="471">
        <v>43.1</v>
      </c>
      <c r="L72" s="507">
        <f t="shared" si="7"/>
        <v>30.162412993039442</v>
      </c>
      <c r="M72" s="336">
        <v>36</v>
      </c>
      <c r="N72" s="343">
        <f t="shared" si="8"/>
        <v>36.111111111111114</v>
      </c>
      <c r="O72" s="428">
        <f t="shared" ca="1" si="11"/>
        <v>139</v>
      </c>
      <c r="P72" s="362">
        <v>1</v>
      </c>
      <c r="Q72" s="337" t="s">
        <v>369</v>
      </c>
    </row>
    <row r="73" spans="2:17" s="1" customFormat="1" ht="40.15" customHeight="1" x14ac:dyDescent="0.2">
      <c r="B73" s="334">
        <v>41683</v>
      </c>
      <c r="C73" s="493" t="s">
        <v>2349</v>
      </c>
      <c r="D73" s="336" t="s">
        <v>2532</v>
      </c>
      <c r="E73" s="336" t="s">
        <v>2451</v>
      </c>
      <c r="F73" s="335" t="s">
        <v>2544</v>
      </c>
      <c r="G73" s="353" t="s">
        <v>2556</v>
      </c>
      <c r="H73" s="336" t="s">
        <v>2507</v>
      </c>
      <c r="I73" s="336" t="s">
        <v>2508</v>
      </c>
      <c r="J73" s="471">
        <f t="shared" si="10"/>
        <v>1300</v>
      </c>
      <c r="K73" s="471">
        <v>43.1</v>
      </c>
      <c r="L73" s="507">
        <f t="shared" si="7"/>
        <v>30.162412993039442</v>
      </c>
      <c r="M73" s="336">
        <v>36</v>
      </c>
      <c r="N73" s="343">
        <f t="shared" si="8"/>
        <v>36.111111111111114</v>
      </c>
      <c r="O73" s="428">
        <f t="shared" ca="1" si="11"/>
        <v>139</v>
      </c>
      <c r="P73" s="362">
        <v>1</v>
      </c>
      <c r="Q73" s="337" t="s">
        <v>369</v>
      </c>
    </row>
    <row r="74" spans="2:17" s="1" customFormat="1" ht="40.15" customHeight="1" x14ac:dyDescent="0.2">
      <c r="B74" s="334">
        <v>41683</v>
      </c>
      <c r="C74" s="493" t="s">
        <v>2349</v>
      </c>
      <c r="D74" s="336" t="s">
        <v>2532</v>
      </c>
      <c r="E74" s="336" t="s">
        <v>2557</v>
      </c>
      <c r="F74" s="335" t="s">
        <v>2544</v>
      </c>
      <c r="G74" s="353" t="s">
        <v>2558</v>
      </c>
      <c r="H74" s="336" t="s">
        <v>2529</v>
      </c>
      <c r="I74" s="336" t="s">
        <v>2389</v>
      </c>
      <c r="J74" s="471">
        <f t="shared" si="10"/>
        <v>1300</v>
      </c>
      <c r="K74" s="471">
        <v>43.1</v>
      </c>
      <c r="L74" s="507">
        <f t="shared" si="7"/>
        <v>30.162412993039442</v>
      </c>
      <c r="M74" s="336">
        <v>36</v>
      </c>
      <c r="N74" s="343">
        <f t="shared" si="8"/>
        <v>36.111111111111114</v>
      </c>
      <c r="O74" s="428">
        <f t="shared" ca="1" si="11"/>
        <v>139</v>
      </c>
      <c r="P74" s="362">
        <v>1</v>
      </c>
      <c r="Q74" s="337" t="s">
        <v>369</v>
      </c>
    </row>
    <row r="75" spans="2:17" s="1" customFormat="1" ht="40.15" customHeight="1" x14ac:dyDescent="0.2">
      <c r="B75" s="334">
        <v>41683</v>
      </c>
      <c r="C75" s="493" t="s">
        <v>2349</v>
      </c>
      <c r="D75" s="336" t="s">
        <v>2532</v>
      </c>
      <c r="E75" s="336" t="s">
        <v>2459</v>
      </c>
      <c r="F75" s="335" t="s">
        <v>2544</v>
      </c>
      <c r="G75" s="353" t="s">
        <v>2559</v>
      </c>
      <c r="H75" s="336" t="s">
        <v>2529</v>
      </c>
      <c r="I75" s="336" t="s">
        <v>2389</v>
      </c>
      <c r="J75" s="471">
        <f t="shared" si="10"/>
        <v>1300</v>
      </c>
      <c r="K75" s="471">
        <v>43.1</v>
      </c>
      <c r="L75" s="507">
        <f t="shared" si="7"/>
        <v>30.162412993039442</v>
      </c>
      <c r="M75" s="336">
        <v>36</v>
      </c>
      <c r="N75" s="343">
        <f t="shared" si="8"/>
        <v>36.111111111111114</v>
      </c>
      <c r="O75" s="428">
        <f t="shared" ca="1" si="11"/>
        <v>139</v>
      </c>
      <c r="P75" s="362">
        <v>1</v>
      </c>
      <c r="Q75" s="337" t="s">
        <v>369</v>
      </c>
    </row>
    <row r="76" spans="2:17" s="1" customFormat="1" ht="40.15" customHeight="1" x14ac:dyDescent="0.2">
      <c r="B76" s="334">
        <v>41683</v>
      </c>
      <c r="C76" s="493" t="s">
        <v>2349</v>
      </c>
      <c r="D76" s="336" t="s">
        <v>2532</v>
      </c>
      <c r="E76" s="336" t="s">
        <v>2463</v>
      </c>
      <c r="F76" s="335" t="s">
        <v>2544</v>
      </c>
      <c r="G76" s="353" t="s">
        <v>2560</v>
      </c>
      <c r="H76" s="336" t="s">
        <v>2531</v>
      </c>
      <c r="I76" s="336" t="s">
        <v>2377</v>
      </c>
      <c r="J76" s="471">
        <f t="shared" si="10"/>
        <v>1300</v>
      </c>
      <c r="K76" s="471">
        <v>43.1</v>
      </c>
      <c r="L76" s="507">
        <f t="shared" si="7"/>
        <v>30.162412993039442</v>
      </c>
      <c r="M76" s="336">
        <v>36</v>
      </c>
      <c r="N76" s="343">
        <f t="shared" si="8"/>
        <v>36.111111111111114</v>
      </c>
      <c r="O76" s="428">
        <f t="shared" ca="1" si="11"/>
        <v>139</v>
      </c>
      <c r="P76" s="362">
        <v>1</v>
      </c>
      <c r="Q76" s="337" t="s">
        <v>369</v>
      </c>
    </row>
    <row r="77" spans="2:17" s="1" customFormat="1" ht="40.15" customHeight="1" x14ac:dyDescent="0.2">
      <c r="B77" s="334">
        <v>41683</v>
      </c>
      <c r="C77" s="493" t="s">
        <v>2349</v>
      </c>
      <c r="D77" s="336" t="s">
        <v>2532</v>
      </c>
      <c r="E77" s="336" t="s">
        <v>2465</v>
      </c>
      <c r="F77" s="335" t="s">
        <v>2544</v>
      </c>
      <c r="G77" s="353" t="s">
        <v>2561</v>
      </c>
      <c r="H77" s="336" t="s">
        <v>2531</v>
      </c>
      <c r="I77" s="336" t="s">
        <v>2377</v>
      </c>
      <c r="J77" s="471">
        <f t="shared" si="10"/>
        <v>1300</v>
      </c>
      <c r="K77" s="471">
        <v>43.1</v>
      </c>
      <c r="L77" s="507">
        <f t="shared" si="7"/>
        <v>30.162412993039442</v>
      </c>
      <c r="M77" s="336">
        <v>36</v>
      </c>
      <c r="N77" s="343">
        <f t="shared" si="8"/>
        <v>36.111111111111114</v>
      </c>
      <c r="O77" s="428">
        <f t="shared" ca="1" si="11"/>
        <v>139</v>
      </c>
      <c r="P77" s="362">
        <v>1</v>
      </c>
      <c r="Q77" s="337" t="s">
        <v>369</v>
      </c>
    </row>
    <row r="78" spans="2:17" s="1" customFormat="1" ht="40.15" customHeight="1" x14ac:dyDescent="0.2">
      <c r="B78" s="334">
        <v>41683</v>
      </c>
      <c r="C78" s="493" t="s">
        <v>2349</v>
      </c>
      <c r="D78" s="336" t="s">
        <v>2532</v>
      </c>
      <c r="E78" s="336" t="s">
        <v>2467</v>
      </c>
      <c r="F78" s="335" t="s">
        <v>2562</v>
      </c>
      <c r="G78" s="336" t="s">
        <v>28</v>
      </c>
      <c r="H78" s="336" t="s">
        <v>2507</v>
      </c>
      <c r="I78" s="336" t="s">
        <v>2508</v>
      </c>
      <c r="J78" s="471">
        <f>4749.91/5</f>
        <v>949.98199999999997</v>
      </c>
      <c r="K78" s="471">
        <v>43.1</v>
      </c>
      <c r="L78" s="507">
        <f t="shared" si="7"/>
        <v>22.04134570765661</v>
      </c>
      <c r="M78" s="336">
        <v>60</v>
      </c>
      <c r="N78" s="343">
        <f t="shared" si="8"/>
        <v>15.833033333333333</v>
      </c>
      <c r="O78" s="428">
        <f t="shared" ca="1" si="11"/>
        <v>139</v>
      </c>
      <c r="P78" s="362">
        <v>1</v>
      </c>
      <c r="Q78" s="337" t="s">
        <v>369</v>
      </c>
    </row>
    <row r="79" spans="2:17" s="1" customFormat="1" ht="40.15" customHeight="1" x14ac:dyDescent="0.2">
      <c r="B79" s="334">
        <v>41683</v>
      </c>
      <c r="C79" s="493" t="s">
        <v>2349</v>
      </c>
      <c r="D79" s="336" t="s">
        <v>2532</v>
      </c>
      <c r="E79" s="336" t="s">
        <v>2469</v>
      </c>
      <c r="F79" s="335" t="s">
        <v>2562</v>
      </c>
      <c r="G79" s="336" t="s">
        <v>28</v>
      </c>
      <c r="H79" s="336" t="s">
        <v>2507</v>
      </c>
      <c r="I79" s="336" t="s">
        <v>2508</v>
      </c>
      <c r="J79" s="471">
        <f>4749.91/5</f>
        <v>949.98199999999997</v>
      </c>
      <c r="K79" s="471">
        <v>43.1</v>
      </c>
      <c r="L79" s="507">
        <f t="shared" si="7"/>
        <v>22.04134570765661</v>
      </c>
      <c r="M79" s="336">
        <v>60</v>
      </c>
      <c r="N79" s="343">
        <f t="shared" si="8"/>
        <v>15.833033333333333</v>
      </c>
      <c r="O79" s="428">
        <f t="shared" ca="1" si="11"/>
        <v>139</v>
      </c>
      <c r="P79" s="362">
        <v>1</v>
      </c>
      <c r="Q79" s="337" t="s">
        <v>369</v>
      </c>
    </row>
    <row r="80" spans="2:17" s="1" customFormat="1" ht="40.15" customHeight="1" x14ac:dyDescent="0.2">
      <c r="B80" s="334">
        <v>41683</v>
      </c>
      <c r="C80" s="493" t="s">
        <v>2349</v>
      </c>
      <c r="D80" s="336" t="s">
        <v>2532</v>
      </c>
      <c r="E80" s="336" t="s">
        <v>2472</v>
      </c>
      <c r="F80" s="335" t="s">
        <v>2562</v>
      </c>
      <c r="G80" s="336" t="s">
        <v>28</v>
      </c>
      <c r="H80" s="336" t="s">
        <v>2531</v>
      </c>
      <c r="I80" s="336" t="s">
        <v>2377</v>
      </c>
      <c r="J80" s="471">
        <f>4749.91/5</f>
        <v>949.98199999999997</v>
      </c>
      <c r="K80" s="471">
        <v>43.1</v>
      </c>
      <c r="L80" s="507">
        <f t="shared" si="7"/>
        <v>22.04134570765661</v>
      </c>
      <c r="M80" s="336">
        <v>60</v>
      </c>
      <c r="N80" s="343">
        <f t="shared" si="8"/>
        <v>15.833033333333333</v>
      </c>
      <c r="O80" s="428">
        <f t="shared" ca="1" si="11"/>
        <v>139</v>
      </c>
      <c r="P80" s="362">
        <v>1</v>
      </c>
      <c r="Q80" s="337" t="s">
        <v>369</v>
      </c>
    </row>
    <row r="81" spans="2:17" s="1" customFormat="1" ht="40.15" customHeight="1" x14ac:dyDescent="0.2">
      <c r="B81" s="334">
        <v>41683</v>
      </c>
      <c r="C81" s="493" t="s">
        <v>2349</v>
      </c>
      <c r="D81" s="336" t="s">
        <v>2532</v>
      </c>
      <c r="E81" s="336" t="s">
        <v>2474</v>
      </c>
      <c r="F81" s="335" t="s">
        <v>2562</v>
      </c>
      <c r="G81" s="336" t="s">
        <v>28</v>
      </c>
      <c r="H81" s="336" t="s">
        <v>2531</v>
      </c>
      <c r="I81" s="336" t="s">
        <v>2377</v>
      </c>
      <c r="J81" s="471">
        <f>4749.91/5</f>
        <v>949.98199999999997</v>
      </c>
      <c r="K81" s="471">
        <v>43.1</v>
      </c>
      <c r="L81" s="507">
        <f t="shared" si="7"/>
        <v>22.04134570765661</v>
      </c>
      <c r="M81" s="336">
        <v>60</v>
      </c>
      <c r="N81" s="343">
        <f t="shared" si="8"/>
        <v>15.833033333333333</v>
      </c>
      <c r="O81" s="428">
        <f t="shared" ca="1" si="11"/>
        <v>139</v>
      </c>
      <c r="P81" s="362">
        <v>1</v>
      </c>
      <c r="Q81" s="337" t="s">
        <v>369</v>
      </c>
    </row>
    <row r="82" spans="2:17" s="1" customFormat="1" ht="40.15" customHeight="1" x14ac:dyDescent="0.2">
      <c r="B82" s="334">
        <v>41683</v>
      </c>
      <c r="C82" s="493" t="s">
        <v>2349</v>
      </c>
      <c r="D82" s="336" t="s">
        <v>2532</v>
      </c>
      <c r="E82" s="336" t="s">
        <v>2563</v>
      </c>
      <c r="F82" s="335" t="s">
        <v>2562</v>
      </c>
      <c r="G82" s="336" t="s">
        <v>28</v>
      </c>
      <c r="H82" s="336" t="s">
        <v>2531</v>
      </c>
      <c r="I82" s="336" t="s">
        <v>2377</v>
      </c>
      <c r="J82" s="471">
        <f>4749.91/5</f>
        <v>949.98199999999997</v>
      </c>
      <c r="K82" s="471">
        <v>43.1</v>
      </c>
      <c r="L82" s="507">
        <f t="shared" si="7"/>
        <v>22.04134570765661</v>
      </c>
      <c r="M82" s="336">
        <v>60</v>
      </c>
      <c r="N82" s="343">
        <f t="shared" si="8"/>
        <v>15.833033333333333</v>
      </c>
      <c r="O82" s="428">
        <f t="shared" ca="1" si="11"/>
        <v>139</v>
      </c>
      <c r="P82" s="362">
        <v>1</v>
      </c>
      <c r="Q82" s="337" t="s">
        <v>369</v>
      </c>
    </row>
    <row r="83" spans="2:17" s="1" customFormat="1" ht="40.15" customHeight="1" x14ac:dyDescent="0.2">
      <c r="B83" s="334">
        <v>41691</v>
      </c>
      <c r="C83" s="493" t="s">
        <v>2349</v>
      </c>
      <c r="D83" s="336" t="s">
        <v>2564</v>
      </c>
      <c r="E83" s="336" t="s">
        <v>2565</v>
      </c>
      <c r="F83" s="335" t="s">
        <v>2566</v>
      </c>
      <c r="G83" s="336" t="s">
        <v>2567</v>
      </c>
      <c r="H83" s="336" t="s">
        <v>2535</v>
      </c>
      <c r="I83" s="336" t="s">
        <v>2536</v>
      </c>
      <c r="J83" s="471">
        <f>63281.87/10</f>
        <v>6328.1869999999999</v>
      </c>
      <c r="K83" s="471">
        <v>43.17</v>
      </c>
      <c r="L83" s="507">
        <f t="shared" si="7"/>
        <v>146.5876071345842</v>
      </c>
      <c r="M83" s="336">
        <v>36</v>
      </c>
      <c r="N83" s="343">
        <f t="shared" si="8"/>
        <v>175.78297222222221</v>
      </c>
      <c r="O83" s="428">
        <f t="shared" ca="1" si="11"/>
        <v>139</v>
      </c>
      <c r="P83" s="362">
        <v>1</v>
      </c>
      <c r="Q83" s="337" t="s">
        <v>2568</v>
      </c>
    </row>
    <row r="84" spans="2:17" s="1" customFormat="1" ht="40.15" customHeight="1" x14ac:dyDescent="0.2">
      <c r="B84" s="334">
        <v>41691</v>
      </c>
      <c r="C84" s="493" t="s">
        <v>2349</v>
      </c>
      <c r="D84" s="336" t="s">
        <v>2564</v>
      </c>
      <c r="E84" s="336" t="s">
        <v>2569</v>
      </c>
      <c r="F84" s="335" t="s">
        <v>2566</v>
      </c>
      <c r="G84" s="336" t="s">
        <v>2570</v>
      </c>
      <c r="H84" s="336" t="s">
        <v>2571</v>
      </c>
      <c r="I84" s="336" t="s">
        <v>2572</v>
      </c>
      <c r="J84" s="471">
        <f t="shared" ref="J84:J92" si="12">63281.87/10</f>
        <v>6328.1869999999999</v>
      </c>
      <c r="K84" s="471">
        <v>43.17</v>
      </c>
      <c r="L84" s="507">
        <f t="shared" ref="L84:L100" si="13">+J84/K84</f>
        <v>146.5876071345842</v>
      </c>
      <c r="M84" s="336">
        <v>36</v>
      </c>
      <c r="N84" s="343">
        <f t="shared" ref="N84:N100" si="14">IF(AND(J84&lt;&gt;0,M84&lt;&gt;0),J84/M84,0)</f>
        <v>175.78297222222221</v>
      </c>
      <c r="O84" s="428">
        <f t="shared" ca="1" si="11"/>
        <v>139</v>
      </c>
      <c r="P84" s="362">
        <v>1</v>
      </c>
      <c r="Q84" s="337" t="s">
        <v>2568</v>
      </c>
    </row>
    <row r="85" spans="2:17" s="1" customFormat="1" ht="32.25" customHeight="1" x14ac:dyDescent="0.2">
      <c r="B85" s="334">
        <v>41691</v>
      </c>
      <c r="C85" s="493" t="s">
        <v>2349</v>
      </c>
      <c r="D85" s="336" t="s">
        <v>2564</v>
      </c>
      <c r="E85" s="336" t="s">
        <v>2573</v>
      </c>
      <c r="F85" s="335" t="s">
        <v>2566</v>
      </c>
      <c r="G85" s="336" t="s">
        <v>2574</v>
      </c>
      <c r="H85" s="336" t="s">
        <v>2547</v>
      </c>
      <c r="I85" s="336" t="s">
        <v>2548</v>
      </c>
      <c r="J85" s="471">
        <f t="shared" si="12"/>
        <v>6328.1869999999999</v>
      </c>
      <c r="K85" s="471">
        <v>43.17</v>
      </c>
      <c r="L85" s="507">
        <f t="shared" si="13"/>
        <v>146.5876071345842</v>
      </c>
      <c r="M85" s="336">
        <v>36</v>
      </c>
      <c r="N85" s="343">
        <f t="shared" si="14"/>
        <v>175.78297222222221</v>
      </c>
      <c r="O85" s="428">
        <f t="shared" ca="1" si="11"/>
        <v>139</v>
      </c>
      <c r="P85" s="362">
        <v>1</v>
      </c>
      <c r="Q85" s="337" t="s">
        <v>2568</v>
      </c>
    </row>
    <row r="86" spans="2:17" s="1" customFormat="1" ht="27" customHeight="1" x14ac:dyDescent="0.2">
      <c r="B86" s="334">
        <v>41691</v>
      </c>
      <c r="C86" s="493" t="s">
        <v>2349</v>
      </c>
      <c r="D86" s="336" t="s">
        <v>2564</v>
      </c>
      <c r="E86" s="336" t="s">
        <v>2575</v>
      </c>
      <c r="F86" s="335" t="s">
        <v>2566</v>
      </c>
      <c r="G86" s="336" t="s">
        <v>2576</v>
      </c>
      <c r="H86" s="336" t="s">
        <v>2550</v>
      </c>
      <c r="I86" s="336" t="s">
        <v>2551</v>
      </c>
      <c r="J86" s="471">
        <f t="shared" si="12"/>
        <v>6328.1869999999999</v>
      </c>
      <c r="K86" s="471">
        <v>43.17</v>
      </c>
      <c r="L86" s="507">
        <f t="shared" si="13"/>
        <v>146.5876071345842</v>
      </c>
      <c r="M86" s="336">
        <v>36</v>
      </c>
      <c r="N86" s="343">
        <f t="shared" si="14"/>
        <v>175.78297222222221</v>
      </c>
      <c r="O86" s="428">
        <f t="shared" ca="1" si="11"/>
        <v>139</v>
      </c>
      <c r="P86" s="362">
        <v>1</v>
      </c>
      <c r="Q86" s="337" t="s">
        <v>2568</v>
      </c>
    </row>
    <row r="87" spans="2:17" s="1" customFormat="1" ht="38.25" customHeight="1" x14ac:dyDescent="0.2">
      <c r="B87" s="334">
        <v>41691</v>
      </c>
      <c r="C87" s="493" t="s">
        <v>2349</v>
      </c>
      <c r="D87" s="336" t="s">
        <v>2564</v>
      </c>
      <c r="E87" s="336" t="s">
        <v>2577</v>
      </c>
      <c r="F87" s="335" t="s">
        <v>2566</v>
      </c>
      <c r="G87" s="336" t="s">
        <v>2578</v>
      </c>
      <c r="H87" s="336" t="s">
        <v>2523</v>
      </c>
      <c r="I87" s="336" t="s">
        <v>2524</v>
      </c>
      <c r="J87" s="471">
        <f t="shared" si="12"/>
        <v>6328.1869999999999</v>
      </c>
      <c r="K87" s="471">
        <v>43.17</v>
      </c>
      <c r="L87" s="507">
        <f t="shared" si="13"/>
        <v>146.5876071345842</v>
      </c>
      <c r="M87" s="336">
        <v>36</v>
      </c>
      <c r="N87" s="343">
        <f t="shared" si="14"/>
        <v>175.78297222222221</v>
      </c>
      <c r="O87" s="428">
        <f t="shared" ca="1" si="11"/>
        <v>139</v>
      </c>
      <c r="P87" s="362">
        <v>1</v>
      </c>
      <c r="Q87" s="337" t="s">
        <v>2568</v>
      </c>
    </row>
    <row r="88" spans="2:17" s="1" customFormat="1" ht="27" customHeight="1" x14ac:dyDescent="0.2">
      <c r="B88" s="334">
        <v>41691</v>
      </c>
      <c r="C88" s="493" t="s">
        <v>2349</v>
      </c>
      <c r="D88" s="336" t="s">
        <v>2564</v>
      </c>
      <c r="E88" s="336" t="s">
        <v>2579</v>
      </c>
      <c r="F88" s="335" t="s">
        <v>2566</v>
      </c>
      <c r="G88" s="336" t="s">
        <v>2580</v>
      </c>
      <c r="H88" s="336" t="s">
        <v>2507</v>
      </c>
      <c r="I88" s="336" t="s">
        <v>2508</v>
      </c>
      <c r="J88" s="471">
        <f t="shared" si="12"/>
        <v>6328.1869999999999</v>
      </c>
      <c r="K88" s="471">
        <v>43.17</v>
      </c>
      <c r="L88" s="507">
        <f t="shared" si="13"/>
        <v>146.5876071345842</v>
      </c>
      <c r="M88" s="336">
        <v>36</v>
      </c>
      <c r="N88" s="343">
        <f t="shared" si="14"/>
        <v>175.78297222222221</v>
      </c>
      <c r="O88" s="428">
        <f t="shared" ca="1" si="11"/>
        <v>139</v>
      </c>
      <c r="P88" s="362">
        <v>1</v>
      </c>
      <c r="Q88" s="337" t="s">
        <v>2568</v>
      </c>
    </row>
    <row r="89" spans="2:17" s="1" customFormat="1" ht="30" customHeight="1" x14ac:dyDescent="0.2">
      <c r="B89" s="334">
        <v>41691</v>
      </c>
      <c r="C89" s="493" t="s">
        <v>2349</v>
      </c>
      <c r="D89" s="336" t="s">
        <v>2564</v>
      </c>
      <c r="E89" s="336" t="s">
        <v>2581</v>
      </c>
      <c r="F89" s="335" t="s">
        <v>2566</v>
      </c>
      <c r="G89" s="336" t="s">
        <v>2582</v>
      </c>
      <c r="H89" s="336" t="s">
        <v>2507</v>
      </c>
      <c r="I89" s="336" t="s">
        <v>2508</v>
      </c>
      <c r="J89" s="471">
        <f t="shared" si="12"/>
        <v>6328.1869999999999</v>
      </c>
      <c r="K89" s="471">
        <v>43.17</v>
      </c>
      <c r="L89" s="507">
        <f t="shared" si="13"/>
        <v>146.5876071345842</v>
      </c>
      <c r="M89" s="336">
        <v>36</v>
      </c>
      <c r="N89" s="343">
        <f t="shared" si="14"/>
        <v>175.78297222222221</v>
      </c>
      <c r="O89" s="428">
        <f t="shared" ca="1" si="11"/>
        <v>139</v>
      </c>
      <c r="P89" s="362">
        <v>1</v>
      </c>
      <c r="Q89" s="337" t="s">
        <v>2568</v>
      </c>
    </row>
    <row r="90" spans="2:17" s="1" customFormat="1" ht="29.25" customHeight="1" x14ac:dyDescent="0.2">
      <c r="B90" s="334">
        <v>41691</v>
      </c>
      <c r="C90" s="493" t="s">
        <v>2349</v>
      </c>
      <c r="D90" s="336" t="s">
        <v>2564</v>
      </c>
      <c r="E90" s="336" t="s">
        <v>2583</v>
      </c>
      <c r="F90" s="335" t="s">
        <v>2566</v>
      </c>
      <c r="G90" s="336" t="s">
        <v>2584</v>
      </c>
      <c r="H90" s="336" t="s">
        <v>2529</v>
      </c>
      <c r="I90" s="336" t="s">
        <v>2389</v>
      </c>
      <c r="J90" s="471">
        <f t="shared" si="12"/>
        <v>6328.1869999999999</v>
      </c>
      <c r="K90" s="471">
        <v>43.17</v>
      </c>
      <c r="L90" s="507">
        <f t="shared" si="13"/>
        <v>146.5876071345842</v>
      </c>
      <c r="M90" s="336">
        <v>36</v>
      </c>
      <c r="N90" s="343">
        <f t="shared" si="14"/>
        <v>175.78297222222221</v>
      </c>
      <c r="O90" s="428">
        <f t="shared" ca="1" si="11"/>
        <v>139</v>
      </c>
      <c r="P90" s="362">
        <v>1</v>
      </c>
      <c r="Q90" s="337" t="s">
        <v>2568</v>
      </c>
    </row>
    <row r="91" spans="2:17" s="1" customFormat="1" ht="30" customHeight="1" x14ac:dyDescent="0.2">
      <c r="B91" s="334">
        <v>41691</v>
      </c>
      <c r="C91" s="493" t="s">
        <v>2349</v>
      </c>
      <c r="D91" s="336" t="s">
        <v>2564</v>
      </c>
      <c r="E91" s="336" t="s">
        <v>2585</v>
      </c>
      <c r="F91" s="335" t="s">
        <v>2566</v>
      </c>
      <c r="G91" s="336" t="s">
        <v>2586</v>
      </c>
      <c r="H91" s="336" t="s">
        <v>2529</v>
      </c>
      <c r="I91" s="336" t="s">
        <v>2389</v>
      </c>
      <c r="J91" s="471">
        <f t="shared" si="12"/>
        <v>6328.1869999999999</v>
      </c>
      <c r="K91" s="471">
        <v>43.17</v>
      </c>
      <c r="L91" s="507">
        <f t="shared" si="13"/>
        <v>146.5876071345842</v>
      </c>
      <c r="M91" s="336">
        <v>36</v>
      </c>
      <c r="N91" s="343">
        <f t="shared" si="14"/>
        <v>175.78297222222221</v>
      </c>
      <c r="O91" s="428">
        <f t="shared" ca="1" si="11"/>
        <v>139</v>
      </c>
      <c r="P91" s="362">
        <v>1</v>
      </c>
      <c r="Q91" s="337" t="s">
        <v>2568</v>
      </c>
    </row>
    <row r="92" spans="2:17" s="1" customFormat="1" ht="31.5" customHeight="1" x14ac:dyDescent="0.2">
      <c r="B92" s="334">
        <v>41691</v>
      </c>
      <c r="C92" s="493" t="s">
        <v>2349</v>
      </c>
      <c r="D92" s="336" t="s">
        <v>2564</v>
      </c>
      <c r="E92" s="336" t="s">
        <v>2500</v>
      </c>
      <c r="F92" s="335" t="s">
        <v>2566</v>
      </c>
      <c r="G92" s="336" t="s">
        <v>2587</v>
      </c>
      <c r="H92" s="336" t="s">
        <v>2531</v>
      </c>
      <c r="I92" s="336" t="s">
        <v>2377</v>
      </c>
      <c r="J92" s="471">
        <f t="shared" si="12"/>
        <v>6328.1869999999999</v>
      </c>
      <c r="K92" s="471">
        <v>43.17</v>
      </c>
      <c r="L92" s="507">
        <f t="shared" si="13"/>
        <v>146.5876071345842</v>
      </c>
      <c r="M92" s="336">
        <v>36</v>
      </c>
      <c r="N92" s="343">
        <f t="shared" si="14"/>
        <v>175.78297222222221</v>
      </c>
      <c r="O92" s="428">
        <f t="shared" ca="1" si="11"/>
        <v>139</v>
      </c>
      <c r="P92" s="362">
        <v>1</v>
      </c>
      <c r="Q92" s="337" t="s">
        <v>2568</v>
      </c>
    </row>
    <row r="93" spans="2:17" s="1" customFormat="1" ht="30" customHeight="1" x14ac:dyDescent="0.2">
      <c r="B93" s="334">
        <v>41715</v>
      </c>
      <c r="C93" s="493" t="s">
        <v>2349</v>
      </c>
      <c r="D93" s="336" t="s">
        <v>2588</v>
      </c>
      <c r="E93" s="336" t="s">
        <v>2589</v>
      </c>
      <c r="F93" s="335" t="s">
        <v>2590</v>
      </c>
      <c r="G93" s="336" t="s">
        <v>2591</v>
      </c>
      <c r="H93" s="336" t="s">
        <v>2518</v>
      </c>
      <c r="I93" s="336" t="s">
        <v>2519</v>
      </c>
      <c r="J93" s="471">
        <f t="shared" ref="J93:J98" si="15">4745.76+854.24</f>
        <v>5600</v>
      </c>
      <c r="K93" s="471">
        <v>43.11</v>
      </c>
      <c r="L93" s="507">
        <f t="shared" si="13"/>
        <v>129.90025516121548</v>
      </c>
      <c r="M93" s="336">
        <v>60</v>
      </c>
      <c r="N93" s="343">
        <f t="shared" si="14"/>
        <v>93.333333333333329</v>
      </c>
      <c r="O93" s="428">
        <f t="shared" ca="1" si="11"/>
        <v>138</v>
      </c>
      <c r="P93" s="362">
        <v>1</v>
      </c>
      <c r="Q93" s="337" t="s">
        <v>369</v>
      </c>
    </row>
    <row r="94" spans="2:17" s="1" customFormat="1" ht="27.75" customHeight="1" x14ac:dyDescent="0.2">
      <c r="B94" s="334">
        <v>41715</v>
      </c>
      <c r="C94" s="493" t="s">
        <v>2349</v>
      </c>
      <c r="D94" s="336" t="s">
        <v>2588</v>
      </c>
      <c r="E94" s="336" t="s">
        <v>2511</v>
      </c>
      <c r="F94" s="335" t="s">
        <v>2590</v>
      </c>
      <c r="G94" s="336" t="s">
        <v>2591</v>
      </c>
      <c r="H94" s="336" t="s">
        <v>2539</v>
      </c>
      <c r="I94" s="336" t="s">
        <v>2381</v>
      </c>
      <c r="J94" s="471">
        <f t="shared" si="15"/>
        <v>5600</v>
      </c>
      <c r="K94" s="471">
        <v>43.11</v>
      </c>
      <c r="L94" s="507">
        <f t="shared" si="13"/>
        <v>129.90025516121548</v>
      </c>
      <c r="M94" s="336">
        <v>60</v>
      </c>
      <c r="N94" s="343">
        <f t="shared" si="14"/>
        <v>93.333333333333329</v>
      </c>
      <c r="O94" s="428">
        <f t="shared" ca="1" si="11"/>
        <v>138</v>
      </c>
      <c r="P94" s="362">
        <v>1</v>
      </c>
      <c r="Q94" s="337" t="s">
        <v>369</v>
      </c>
    </row>
    <row r="95" spans="2:17" s="1" customFormat="1" ht="40.15" customHeight="1" x14ac:dyDescent="0.2">
      <c r="B95" s="334">
        <v>41715</v>
      </c>
      <c r="C95" s="493" t="s">
        <v>2349</v>
      </c>
      <c r="D95" s="336" t="s">
        <v>2588</v>
      </c>
      <c r="E95" s="336" t="s">
        <v>2592</v>
      </c>
      <c r="F95" s="335" t="s">
        <v>2590</v>
      </c>
      <c r="G95" s="336" t="s">
        <v>2591</v>
      </c>
      <c r="H95" s="336" t="s">
        <v>2523</v>
      </c>
      <c r="I95" s="336" t="s">
        <v>2524</v>
      </c>
      <c r="J95" s="471">
        <f t="shared" si="15"/>
        <v>5600</v>
      </c>
      <c r="K95" s="471">
        <v>43.11</v>
      </c>
      <c r="L95" s="507">
        <f t="shared" si="13"/>
        <v>129.90025516121548</v>
      </c>
      <c r="M95" s="336">
        <v>60</v>
      </c>
      <c r="N95" s="343">
        <f t="shared" si="14"/>
        <v>93.333333333333329</v>
      </c>
      <c r="O95" s="428">
        <f t="shared" ca="1" si="11"/>
        <v>138</v>
      </c>
      <c r="P95" s="362">
        <v>1</v>
      </c>
      <c r="Q95" s="337" t="s">
        <v>369</v>
      </c>
    </row>
    <row r="96" spans="2:17" s="1" customFormat="1" ht="40.15" customHeight="1" x14ac:dyDescent="0.2">
      <c r="B96" s="334">
        <v>41715</v>
      </c>
      <c r="C96" s="493" t="s">
        <v>2349</v>
      </c>
      <c r="D96" s="336" t="s">
        <v>2588</v>
      </c>
      <c r="E96" s="336" t="s">
        <v>2593</v>
      </c>
      <c r="F96" s="335" t="s">
        <v>2590</v>
      </c>
      <c r="G96" s="336" t="s">
        <v>2591</v>
      </c>
      <c r="H96" s="336" t="s">
        <v>2507</v>
      </c>
      <c r="I96" s="336" t="s">
        <v>2508</v>
      </c>
      <c r="J96" s="471">
        <f t="shared" si="15"/>
        <v>5600</v>
      </c>
      <c r="K96" s="471">
        <v>43.11</v>
      </c>
      <c r="L96" s="507">
        <f t="shared" si="13"/>
        <v>129.90025516121548</v>
      </c>
      <c r="M96" s="336">
        <v>60</v>
      </c>
      <c r="N96" s="343">
        <f t="shared" si="14"/>
        <v>93.333333333333329</v>
      </c>
      <c r="O96" s="428">
        <f t="shared" ca="1" si="11"/>
        <v>138</v>
      </c>
      <c r="P96" s="362">
        <v>1</v>
      </c>
      <c r="Q96" s="337" t="s">
        <v>369</v>
      </c>
    </row>
    <row r="97" spans="2:17" s="1" customFormat="1" ht="40.15" customHeight="1" x14ac:dyDescent="0.2">
      <c r="B97" s="334">
        <v>41715</v>
      </c>
      <c r="C97" s="493" t="s">
        <v>2349</v>
      </c>
      <c r="D97" s="336" t="s">
        <v>2588</v>
      </c>
      <c r="E97" s="336" t="s">
        <v>2594</v>
      </c>
      <c r="F97" s="335" t="s">
        <v>2590</v>
      </c>
      <c r="G97" s="336" t="s">
        <v>2591</v>
      </c>
      <c r="H97" s="336" t="s">
        <v>2529</v>
      </c>
      <c r="I97" s="336" t="s">
        <v>2389</v>
      </c>
      <c r="J97" s="471">
        <f t="shared" si="15"/>
        <v>5600</v>
      </c>
      <c r="K97" s="471">
        <v>43.11</v>
      </c>
      <c r="L97" s="507">
        <f t="shared" si="13"/>
        <v>129.90025516121548</v>
      </c>
      <c r="M97" s="336">
        <v>60</v>
      </c>
      <c r="N97" s="343">
        <f t="shared" si="14"/>
        <v>93.333333333333329</v>
      </c>
      <c r="O97" s="428">
        <f t="shared" ca="1" si="11"/>
        <v>138</v>
      </c>
      <c r="P97" s="362">
        <v>1</v>
      </c>
      <c r="Q97" s="337" t="s">
        <v>369</v>
      </c>
    </row>
    <row r="98" spans="2:17" s="1" customFormat="1" ht="40.15" customHeight="1" x14ac:dyDescent="0.2">
      <c r="B98" s="334">
        <v>41715</v>
      </c>
      <c r="C98" s="493" t="s">
        <v>2349</v>
      </c>
      <c r="D98" s="336" t="s">
        <v>2588</v>
      </c>
      <c r="E98" s="336" t="s">
        <v>2595</v>
      </c>
      <c r="F98" s="335" t="s">
        <v>2590</v>
      </c>
      <c r="G98" s="336" t="s">
        <v>2591</v>
      </c>
      <c r="H98" s="336" t="s">
        <v>2531</v>
      </c>
      <c r="I98" s="336" t="s">
        <v>2377</v>
      </c>
      <c r="J98" s="471">
        <f t="shared" si="15"/>
        <v>5600</v>
      </c>
      <c r="K98" s="471">
        <v>43.11</v>
      </c>
      <c r="L98" s="507">
        <f t="shared" si="13"/>
        <v>129.90025516121548</v>
      </c>
      <c r="M98" s="336">
        <v>60</v>
      </c>
      <c r="N98" s="343">
        <f t="shared" si="14"/>
        <v>93.333333333333329</v>
      </c>
      <c r="O98" s="428">
        <f t="shared" ca="1" si="11"/>
        <v>138</v>
      </c>
      <c r="P98" s="362">
        <v>1</v>
      </c>
      <c r="Q98" s="337" t="s">
        <v>369</v>
      </c>
    </row>
    <row r="99" spans="2:17" s="1" customFormat="1" ht="54.95" customHeight="1" x14ac:dyDescent="0.2">
      <c r="B99" s="334">
        <v>41729</v>
      </c>
      <c r="C99" s="493" t="s">
        <v>2349</v>
      </c>
      <c r="D99" s="336" t="s">
        <v>2596</v>
      </c>
      <c r="E99" s="336" t="s">
        <v>2597</v>
      </c>
      <c r="F99" s="335" t="s">
        <v>2598</v>
      </c>
      <c r="G99" s="336" t="s">
        <v>2599</v>
      </c>
      <c r="H99" s="336" t="s">
        <v>2535</v>
      </c>
      <c r="I99" s="336" t="s">
        <v>2536</v>
      </c>
      <c r="J99" s="471">
        <f>26916.71*18%+26916.71</f>
        <v>31761.717799999999</v>
      </c>
      <c r="K99" s="471">
        <v>43.058500000000002</v>
      </c>
      <c r="L99" s="507">
        <f t="shared" si="13"/>
        <v>737.64106506264727</v>
      </c>
      <c r="M99" s="336">
        <v>60</v>
      </c>
      <c r="N99" s="343">
        <f t="shared" si="14"/>
        <v>529.36196333333328</v>
      </c>
      <c r="O99" s="428">
        <f t="shared" ca="1" si="11"/>
        <v>137</v>
      </c>
      <c r="P99" s="362">
        <v>1</v>
      </c>
      <c r="Q99" s="337" t="s">
        <v>2600</v>
      </c>
    </row>
    <row r="100" spans="2:17" s="1" customFormat="1" ht="54.95" customHeight="1" x14ac:dyDescent="0.2">
      <c r="B100" s="334">
        <v>41729</v>
      </c>
      <c r="C100" s="493" t="s">
        <v>2349</v>
      </c>
      <c r="D100" s="336" t="s">
        <v>2596</v>
      </c>
      <c r="E100" s="336" t="s">
        <v>2601</v>
      </c>
      <c r="F100" s="335" t="s">
        <v>2598</v>
      </c>
      <c r="G100" s="336" t="s">
        <v>2602</v>
      </c>
      <c r="H100" s="336" t="s">
        <v>2547</v>
      </c>
      <c r="I100" s="336" t="s">
        <v>2548</v>
      </c>
      <c r="J100" s="471">
        <f>26916.71*18%+26916.71</f>
        <v>31761.717799999999</v>
      </c>
      <c r="K100" s="471">
        <v>43.058500000000002</v>
      </c>
      <c r="L100" s="507">
        <f t="shared" si="13"/>
        <v>737.64106506264727</v>
      </c>
      <c r="M100" s="336">
        <v>60</v>
      </c>
      <c r="N100" s="343">
        <f t="shared" si="14"/>
        <v>529.36196333333328</v>
      </c>
      <c r="O100" s="428">
        <f t="shared" ca="1" si="11"/>
        <v>137</v>
      </c>
      <c r="P100" s="362">
        <v>1</v>
      </c>
      <c r="Q100" s="337" t="s">
        <v>2600</v>
      </c>
    </row>
    <row r="101" spans="2:17" s="1" customFormat="1" ht="54.95" customHeight="1" x14ac:dyDescent="0.2">
      <c r="B101" s="334">
        <v>41729</v>
      </c>
      <c r="C101" s="493" t="s">
        <v>2349</v>
      </c>
      <c r="D101" s="336" t="s">
        <v>2596</v>
      </c>
      <c r="E101" s="336" t="s">
        <v>2603</v>
      </c>
      <c r="F101" s="335" t="s">
        <v>2598</v>
      </c>
      <c r="G101" s="336" t="s">
        <v>2604</v>
      </c>
      <c r="H101" s="336" t="s">
        <v>2550</v>
      </c>
      <c r="I101" s="336" t="s">
        <v>2551</v>
      </c>
      <c r="J101" s="471">
        <f t="shared" ref="J101:J108" si="16">26916.71*18%+26916.71</f>
        <v>31761.717799999999</v>
      </c>
      <c r="K101" s="471">
        <v>43.058500000000002</v>
      </c>
      <c r="L101" s="507">
        <f t="shared" ref="L101:L109" si="17">+J101/K101</f>
        <v>737.64106506264727</v>
      </c>
      <c r="M101" s="336">
        <v>60</v>
      </c>
      <c r="N101" s="343">
        <f t="shared" ref="N101:N109" si="18">IF(AND(J101&lt;&gt;0,M101&lt;&gt;0),J101/M101,0)</f>
        <v>529.36196333333328</v>
      </c>
      <c r="O101" s="428">
        <f t="shared" ca="1" si="11"/>
        <v>137</v>
      </c>
      <c r="P101" s="362">
        <v>1</v>
      </c>
      <c r="Q101" s="337" t="s">
        <v>2600</v>
      </c>
    </row>
    <row r="102" spans="2:17" s="1" customFormat="1" ht="54.95" customHeight="1" x14ac:dyDescent="0.2">
      <c r="B102" s="334">
        <v>41729</v>
      </c>
      <c r="C102" s="493" t="s">
        <v>2349</v>
      </c>
      <c r="D102" s="336" t="s">
        <v>2596</v>
      </c>
      <c r="E102" s="336" t="s">
        <v>2605</v>
      </c>
      <c r="F102" s="335" t="s">
        <v>2598</v>
      </c>
      <c r="G102" s="336" t="s">
        <v>2606</v>
      </c>
      <c r="H102" s="336" t="s">
        <v>2523</v>
      </c>
      <c r="I102" s="336" t="s">
        <v>2524</v>
      </c>
      <c r="J102" s="471">
        <f t="shared" si="16"/>
        <v>31761.717799999999</v>
      </c>
      <c r="K102" s="471">
        <v>43.058500000000002</v>
      </c>
      <c r="L102" s="507">
        <f t="shared" si="17"/>
        <v>737.64106506264727</v>
      </c>
      <c r="M102" s="336">
        <v>60</v>
      </c>
      <c r="N102" s="343">
        <f t="shared" si="18"/>
        <v>529.36196333333328</v>
      </c>
      <c r="O102" s="428">
        <f t="shared" ca="1" si="11"/>
        <v>137</v>
      </c>
      <c r="P102" s="362">
        <v>1</v>
      </c>
      <c r="Q102" s="337" t="s">
        <v>2600</v>
      </c>
    </row>
    <row r="103" spans="2:17" s="1" customFormat="1" ht="54.95" customHeight="1" x14ac:dyDescent="0.2">
      <c r="B103" s="334">
        <v>41729</v>
      </c>
      <c r="C103" s="493" t="s">
        <v>2349</v>
      </c>
      <c r="D103" s="336" t="s">
        <v>2596</v>
      </c>
      <c r="E103" s="336" t="s">
        <v>2607</v>
      </c>
      <c r="F103" s="335" t="s">
        <v>2598</v>
      </c>
      <c r="G103" s="336" t="s">
        <v>2608</v>
      </c>
      <c r="H103" s="336" t="s">
        <v>2507</v>
      </c>
      <c r="I103" s="336" t="s">
        <v>2508</v>
      </c>
      <c r="J103" s="471">
        <f t="shared" si="16"/>
        <v>31761.717799999999</v>
      </c>
      <c r="K103" s="471">
        <v>43.058500000000002</v>
      </c>
      <c r="L103" s="507">
        <f t="shared" si="17"/>
        <v>737.64106506264727</v>
      </c>
      <c r="M103" s="336">
        <v>60</v>
      </c>
      <c r="N103" s="343">
        <f t="shared" si="18"/>
        <v>529.36196333333328</v>
      </c>
      <c r="O103" s="428">
        <f t="shared" ref="O103:O109" ca="1" si="19">IF(B103&lt;&gt;0,(ROUND((NOW()-B103)/30,0)),0)</f>
        <v>137</v>
      </c>
      <c r="P103" s="362">
        <v>1</v>
      </c>
      <c r="Q103" s="337" t="s">
        <v>2600</v>
      </c>
    </row>
    <row r="104" spans="2:17" s="1" customFormat="1" ht="51" customHeight="1" x14ac:dyDescent="0.2">
      <c r="B104" s="334">
        <v>41729</v>
      </c>
      <c r="C104" s="493" t="s">
        <v>2349</v>
      </c>
      <c r="D104" s="336" t="s">
        <v>2596</v>
      </c>
      <c r="E104" s="336" t="s">
        <v>2609</v>
      </c>
      <c r="F104" s="335" t="s">
        <v>2598</v>
      </c>
      <c r="G104" s="336" t="s">
        <v>2610</v>
      </c>
      <c r="H104" s="336" t="s">
        <v>2507</v>
      </c>
      <c r="I104" s="336" t="s">
        <v>2508</v>
      </c>
      <c r="J104" s="471">
        <f t="shared" si="16"/>
        <v>31761.717799999999</v>
      </c>
      <c r="K104" s="471">
        <v>43.058500000000002</v>
      </c>
      <c r="L104" s="507">
        <f t="shared" si="17"/>
        <v>737.64106506264727</v>
      </c>
      <c r="M104" s="336">
        <v>60</v>
      </c>
      <c r="N104" s="343">
        <f t="shared" si="18"/>
        <v>529.36196333333328</v>
      </c>
      <c r="O104" s="428">
        <f t="shared" ca="1" si="19"/>
        <v>137</v>
      </c>
      <c r="P104" s="362">
        <v>1</v>
      </c>
      <c r="Q104" s="337" t="s">
        <v>2600</v>
      </c>
    </row>
    <row r="105" spans="2:17" s="1" customFormat="1" ht="51.75" customHeight="1" x14ac:dyDescent="0.2">
      <c r="B105" s="334">
        <v>41729</v>
      </c>
      <c r="C105" s="493" t="s">
        <v>2349</v>
      </c>
      <c r="D105" s="336" t="s">
        <v>2596</v>
      </c>
      <c r="E105" s="336" t="s">
        <v>2611</v>
      </c>
      <c r="F105" s="335" t="s">
        <v>2598</v>
      </c>
      <c r="G105" s="336" t="s">
        <v>2612</v>
      </c>
      <c r="H105" s="336" t="s">
        <v>2529</v>
      </c>
      <c r="I105" s="336" t="s">
        <v>2389</v>
      </c>
      <c r="J105" s="471">
        <f t="shared" si="16"/>
        <v>31761.717799999999</v>
      </c>
      <c r="K105" s="471">
        <v>43.058500000000002</v>
      </c>
      <c r="L105" s="507">
        <f t="shared" si="17"/>
        <v>737.64106506264727</v>
      </c>
      <c r="M105" s="336">
        <v>60</v>
      </c>
      <c r="N105" s="343">
        <f t="shared" si="18"/>
        <v>529.36196333333328</v>
      </c>
      <c r="O105" s="428">
        <f t="shared" ca="1" si="19"/>
        <v>137</v>
      </c>
      <c r="P105" s="362">
        <v>1</v>
      </c>
      <c r="Q105" s="337" t="s">
        <v>2600</v>
      </c>
    </row>
    <row r="106" spans="2:17" s="1" customFormat="1" ht="51.75" customHeight="1" x14ac:dyDescent="0.2">
      <c r="B106" s="334">
        <v>41729</v>
      </c>
      <c r="C106" s="493" t="s">
        <v>2349</v>
      </c>
      <c r="D106" s="336" t="s">
        <v>2596</v>
      </c>
      <c r="E106" s="336" t="s">
        <v>2613</v>
      </c>
      <c r="F106" s="335" t="s">
        <v>2598</v>
      </c>
      <c r="G106" s="336" t="s">
        <v>2614</v>
      </c>
      <c r="H106" s="336" t="s">
        <v>2529</v>
      </c>
      <c r="I106" s="336" t="s">
        <v>2389</v>
      </c>
      <c r="J106" s="471">
        <f t="shared" si="16"/>
        <v>31761.717799999999</v>
      </c>
      <c r="K106" s="471">
        <v>43.058500000000002</v>
      </c>
      <c r="L106" s="507">
        <f t="shared" si="17"/>
        <v>737.64106506264727</v>
      </c>
      <c r="M106" s="336">
        <v>60</v>
      </c>
      <c r="N106" s="343">
        <f t="shared" si="18"/>
        <v>529.36196333333328</v>
      </c>
      <c r="O106" s="428">
        <f t="shared" ca="1" si="19"/>
        <v>137</v>
      </c>
      <c r="P106" s="362">
        <v>1</v>
      </c>
      <c r="Q106" s="337" t="s">
        <v>2600</v>
      </c>
    </row>
    <row r="107" spans="2:17" s="1" customFormat="1" ht="50.25" customHeight="1" x14ac:dyDescent="0.2">
      <c r="B107" s="334">
        <v>41729</v>
      </c>
      <c r="C107" s="493" t="s">
        <v>2349</v>
      </c>
      <c r="D107" s="336" t="s">
        <v>2596</v>
      </c>
      <c r="E107" s="336" t="s">
        <v>2615</v>
      </c>
      <c r="F107" s="335" t="s">
        <v>2598</v>
      </c>
      <c r="G107" s="336" t="s">
        <v>2616</v>
      </c>
      <c r="H107" s="336" t="s">
        <v>2531</v>
      </c>
      <c r="I107" s="336" t="s">
        <v>2377</v>
      </c>
      <c r="J107" s="471">
        <f t="shared" si="16"/>
        <v>31761.717799999999</v>
      </c>
      <c r="K107" s="471">
        <v>43.058500000000002</v>
      </c>
      <c r="L107" s="507">
        <f t="shared" si="17"/>
        <v>737.64106506264727</v>
      </c>
      <c r="M107" s="336">
        <v>60</v>
      </c>
      <c r="N107" s="343">
        <f t="shared" si="18"/>
        <v>529.36196333333328</v>
      </c>
      <c r="O107" s="428">
        <f t="shared" ca="1" si="19"/>
        <v>137</v>
      </c>
      <c r="P107" s="362">
        <v>1</v>
      </c>
      <c r="Q107" s="337" t="s">
        <v>2600</v>
      </c>
    </row>
    <row r="108" spans="2:17" s="1" customFormat="1" ht="50.25" customHeight="1" x14ac:dyDescent="0.2">
      <c r="B108" s="334">
        <v>41729</v>
      </c>
      <c r="C108" s="493" t="s">
        <v>2349</v>
      </c>
      <c r="D108" s="336" t="s">
        <v>2596</v>
      </c>
      <c r="E108" s="336" t="s">
        <v>2617</v>
      </c>
      <c r="F108" s="335" t="s">
        <v>2598</v>
      </c>
      <c r="G108" s="336" t="s">
        <v>2618</v>
      </c>
      <c r="H108" s="336" t="s">
        <v>2531</v>
      </c>
      <c r="I108" s="336" t="s">
        <v>2377</v>
      </c>
      <c r="J108" s="471">
        <f t="shared" si="16"/>
        <v>31761.717799999999</v>
      </c>
      <c r="K108" s="471">
        <v>43.058500000000002</v>
      </c>
      <c r="L108" s="507">
        <f t="shared" si="17"/>
        <v>737.64106506264727</v>
      </c>
      <c r="M108" s="336">
        <v>60</v>
      </c>
      <c r="N108" s="343">
        <f t="shared" si="18"/>
        <v>529.36196333333328</v>
      </c>
      <c r="O108" s="428">
        <f t="shared" ca="1" si="19"/>
        <v>137</v>
      </c>
      <c r="P108" s="362">
        <v>1</v>
      </c>
      <c r="Q108" s="337" t="s">
        <v>2600</v>
      </c>
    </row>
    <row r="109" spans="2:17" s="1" customFormat="1" ht="30" customHeight="1" x14ac:dyDescent="0.2">
      <c r="B109" s="334">
        <v>41729</v>
      </c>
      <c r="C109" s="493" t="s">
        <v>2349</v>
      </c>
      <c r="D109" s="336" t="s">
        <v>2596</v>
      </c>
      <c r="E109" s="336" t="s">
        <v>2619</v>
      </c>
      <c r="F109" s="335" t="s">
        <v>2620</v>
      </c>
      <c r="G109" s="336" t="s">
        <v>2621</v>
      </c>
      <c r="H109" s="336" t="s">
        <v>2535</v>
      </c>
      <c r="I109" s="336" t="s">
        <v>2536</v>
      </c>
      <c r="J109" s="471">
        <f>27585.36*18%+27585.36</f>
        <v>32550.7248</v>
      </c>
      <c r="K109" s="471">
        <v>43.058500000000002</v>
      </c>
      <c r="L109" s="507">
        <f t="shared" si="17"/>
        <v>755.96513580361602</v>
      </c>
      <c r="M109" s="336">
        <v>60</v>
      </c>
      <c r="N109" s="343">
        <f t="shared" si="18"/>
        <v>542.51207999999997</v>
      </c>
      <c r="O109" s="428">
        <f t="shared" ca="1" si="19"/>
        <v>137</v>
      </c>
      <c r="P109" s="362">
        <v>1</v>
      </c>
      <c r="Q109" s="337" t="s">
        <v>2600</v>
      </c>
    </row>
    <row r="110" spans="2:17" s="1" customFormat="1" ht="27.75" customHeight="1" x14ac:dyDescent="0.2">
      <c r="B110" s="334">
        <v>41729</v>
      </c>
      <c r="C110" s="493" t="s">
        <v>2349</v>
      </c>
      <c r="D110" s="336" t="s">
        <v>2596</v>
      </c>
      <c r="E110" s="336" t="s">
        <v>2622</v>
      </c>
      <c r="F110" s="335" t="s">
        <v>2620</v>
      </c>
      <c r="G110" s="336" t="s">
        <v>2623</v>
      </c>
      <c r="H110" s="336" t="s">
        <v>2518</v>
      </c>
      <c r="I110" s="336" t="s">
        <v>2519</v>
      </c>
      <c r="J110" s="471">
        <f t="shared" ref="J110:J116" si="20">27585.36*18%+27585.36</f>
        <v>32550.7248</v>
      </c>
      <c r="K110" s="471">
        <v>43.058500000000002</v>
      </c>
      <c r="L110" s="507">
        <f t="shared" ref="L110:L116" si="21">+J110/K110</f>
        <v>755.96513580361602</v>
      </c>
      <c r="M110" s="336">
        <v>60</v>
      </c>
      <c r="N110" s="343">
        <f t="shared" ref="N110:N116" si="22">IF(AND(J110&lt;&gt;0,M110&lt;&gt;0),J110/M110,0)</f>
        <v>542.51207999999997</v>
      </c>
      <c r="O110" s="428">
        <f t="shared" ref="O110:O116" ca="1" si="23">IF(B110&lt;&gt;0,(ROUND((NOW()-B110)/30,0)),0)</f>
        <v>137</v>
      </c>
      <c r="P110" s="362">
        <v>1</v>
      </c>
      <c r="Q110" s="337" t="s">
        <v>2600</v>
      </c>
    </row>
    <row r="111" spans="2:17" s="1" customFormat="1" ht="28.5" customHeight="1" x14ac:dyDescent="0.2">
      <c r="B111" s="334">
        <v>41729</v>
      </c>
      <c r="C111" s="493" t="s">
        <v>2349</v>
      </c>
      <c r="D111" s="336" t="s">
        <v>2596</v>
      </c>
      <c r="E111" s="336" t="s">
        <v>2624</v>
      </c>
      <c r="F111" s="335" t="s">
        <v>2620</v>
      </c>
      <c r="G111" s="336" t="s">
        <v>2625</v>
      </c>
      <c r="H111" s="336" t="s">
        <v>2571</v>
      </c>
      <c r="I111" s="336" t="s">
        <v>2572</v>
      </c>
      <c r="J111" s="471">
        <f t="shared" si="20"/>
        <v>32550.7248</v>
      </c>
      <c r="K111" s="471">
        <v>43.058500000000002</v>
      </c>
      <c r="L111" s="507">
        <f t="shared" si="21"/>
        <v>755.96513580361602</v>
      </c>
      <c r="M111" s="336">
        <v>60</v>
      </c>
      <c r="N111" s="343">
        <f t="shared" si="22"/>
        <v>542.51207999999997</v>
      </c>
      <c r="O111" s="428">
        <f t="shared" ca="1" si="23"/>
        <v>137</v>
      </c>
      <c r="P111" s="362">
        <v>1</v>
      </c>
      <c r="Q111" s="337" t="s">
        <v>2600</v>
      </c>
    </row>
    <row r="112" spans="2:17" s="1" customFormat="1" ht="40.15" customHeight="1" x14ac:dyDescent="0.2">
      <c r="B112" s="334">
        <v>41729</v>
      </c>
      <c r="C112" s="493" t="s">
        <v>2349</v>
      </c>
      <c r="D112" s="336" t="s">
        <v>2596</v>
      </c>
      <c r="E112" s="336" t="s">
        <v>2626</v>
      </c>
      <c r="F112" s="335" t="s">
        <v>2620</v>
      </c>
      <c r="G112" s="336" t="s">
        <v>2627</v>
      </c>
      <c r="H112" s="336" t="s">
        <v>2539</v>
      </c>
      <c r="I112" s="336" t="s">
        <v>2381</v>
      </c>
      <c r="J112" s="471">
        <f t="shared" si="20"/>
        <v>32550.7248</v>
      </c>
      <c r="K112" s="471">
        <v>43.058500000000002</v>
      </c>
      <c r="L112" s="507">
        <f t="shared" si="21"/>
        <v>755.96513580361602</v>
      </c>
      <c r="M112" s="336">
        <v>60</v>
      </c>
      <c r="N112" s="343">
        <f t="shared" si="22"/>
        <v>542.51207999999997</v>
      </c>
      <c r="O112" s="428">
        <f t="shared" ca="1" si="23"/>
        <v>137</v>
      </c>
      <c r="P112" s="362">
        <v>1</v>
      </c>
      <c r="Q112" s="337" t="s">
        <v>2600</v>
      </c>
    </row>
    <row r="113" spans="2:17" s="1" customFormat="1" ht="40.15" customHeight="1" x14ac:dyDescent="0.2">
      <c r="B113" s="334">
        <v>41729</v>
      </c>
      <c r="C113" s="493" t="s">
        <v>2349</v>
      </c>
      <c r="D113" s="336" t="s">
        <v>2596</v>
      </c>
      <c r="E113" s="336" t="s">
        <v>2628</v>
      </c>
      <c r="F113" s="335" t="s">
        <v>2620</v>
      </c>
      <c r="G113" s="336" t="s">
        <v>2629</v>
      </c>
      <c r="H113" s="336" t="s">
        <v>2523</v>
      </c>
      <c r="I113" s="336" t="s">
        <v>2524</v>
      </c>
      <c r="J113" s="471">
        <f t="shared" si="20"/>
        <v>32550.7248</v>
      </c>
      <c r="K113" s="471">
        <v>43.058500000000002</v>
      </c>
      <c r="L113" s="507">
        <f t="shared" si="21"/>
        <v>755.96513580361602</v>
      </c>
      <c r="M113" s="336">
        <v>60</v>
      </c>
      <c r="N113" s="343">
        <f t="shared" si="22"/>
        <v>542.51207999999997</v>
      </c>
      <c r="O113" s="428">
        <f t="shared" ca="1" si="23"/>
        <v>137</v>
      </c>
      <c r="P113" s="362">
        <v>1</v>
      </c>
      <c r="Q113" s="337" t="s">
        <v>2600</v>
      </c>
    </row>
    <row r="114" spans="2:17" s="1" customFormat="1" ht="40.15" customHeight="1" x14ac:dyDescent="0.2">
      <c r="B114" s="334">
        <v>41729</v>
      </c>
      <c r="C114" s="493" t="s">
        <v>2349</v>
      </c>
      <c r="D114" s="336" t="s">
        <v>2596</v>
      </c>
      <c r="E114" s="336" t="s">
        <v>2630</v>
      </c>
      <c r="F114" s="335" t="s">
        <v>2620</v>
      </c>
      <c r="G114" s="336" t="s">
        <v>2631</v>
      </c>
      <c r="H114" s="336" t="s">
        <v>2507</v>
      </c>
      <c r="I114" s="336" t="s">
        <v>2508</v>
      </c>
      <c r="J114" s="471">
        <f t="shared" si="20"/>
        <v>32550.7248</v>
      </c>
      <c r="K114" s="471">
        <v>43.058500000000002</v>
      </c>
      <c r="L114" s="507">
        <f t="shared" si="21"/>
        <v>755.96513580361602</v>
      </c>
      <c r="M114" s="336">
        <v>60</v>
      </c>
      <c r="N114" s="343">
        <f t="shared" si="22"/>
        <v>542.51207999999997</v>
      </c>
      <c r="O114" s="428">
        <f t="shared" ca="1" si="23"/>
        <v>137</v>
      </c>
      <c r="P114" s="362">
        <v>1</v>
      </c>
      <c r="Q114" s="337" t="s">
        <v>2600</v>
      </c>
    </row>
    <row r="115" spans="2:17" s="1" customFormat="1" ht="27.75" customHeight="1" x14ac:dyDescent="0.2">
      <c r="B115" s="334">
        <v>41729</v>
      </c>
      <c r="C115" s="493" t="s">
        <v>2349</v>
      </c>
      <c r="D115" s="336" t="s">
        <v>2596</v>
      </c>
      <c r="E115" s="336" t="s">
        <v>2632</v>
      </c>
      <c r="F115" s="335" t="s">
        <v>2620</v>
      </c>
      <c r="G115" s="336" t="s">
        <v>2633</v>
      </c>
      <c r="H115" s="336" t="s">
        <v>2529</v>
      </c>
      <c r="I115" s="336" t="s">
        <v>2389</v>
      </c>
      <c r="J115" s="471">
        <f t="shared" si="20"/>
        <v>32550.7248</v>
      </c>
      <c r="K115" s="471">
        <v>43.058500000000002</v>
      </c>
      <c r="L115" s="507">
        <f t="shared" si="21"/>
        <v>755.96513580361602</v>
      </c>
      <c r="M115" s="336">
        <v>60</v>
      </c>
      <c r="N115" s="343">
        <f t="shared" si="22"/>
        <v>542.51207999999997</v>
      </c>
      <c r="O115" s="428">
        <f t="shared" ca="1" si="23"/>
        <v>137</v>
      </c>
      <c r="P115" s="362">
        <v>1</v>
      </c>
      <c r="Q115" s="337" t="s">
        <v>2600</v>
      </c>
    </row>
    <row r="116" spans="2:17" s="1" customFormat="1" ht="24.75" customHeight="1" x14ac:dyDescent="0.2">
      <c r="B116" s="334">
        <v>41729</v>
      </c>
      <c r="C116" s="493" t="s">
        <v>2349</v>
      </c>
      <c r="D116" s="336" t="s">
        <v>2596</v>
      </c>
      <c r="E116" s="336" t="s">
        <v>2634</v>
      </c>
      <c r="F116" s="335" t="s">
        <v>2620</v>
      </c>
      <c r="G116" s="336" t="s">
        <v>2635</v>
      </c>
      <c r="H116" s="336" t="s">
        <v>2531</v>
      </c>
      <c r="I116" s="336" t="s">
        <v>2377</v>
      </c>
      <c r="J116" s="471">
        <f t="shared" si="20"/>
        <v>32550.7248</v>
      </c>
      <c r="K116" s="471">
        <v>43.058500000000002</v>
      </c>
      <c r="L116" s="507">
        <f t="shared" si="21"/>
        <v>755.96513580361602</v>
      </c>
      <c r="M116" s="336">
        <v>60</v>
      </c>
      <c r="N116" s="343">
        <f t="shared" si="22"/>
        <v>542.51207999999997</v>
      </c>
      <c r="O116" s="428">
        <f t="shared" ca="1" si="23"/>
        <v>137</v>
      </c>
      <c r="P116" s="362">
        <v>1</v>
      </c>
      <c r="Q116" s="337" t="s">
        <v>2600</v>
      </c>
    </row>
    <row r="117" spans="2:17" s="1" customFormat="1" ht="4.5" customHeight="1" x14ac:dyDescent="0.2">
      <c r="B117" s="248"/>
      <c r="C117" s="248"/>
      <c r="D117" s="250"/>
      <c r="E117" s="250"/>
      <c r="F117" s="249"/>
      <c r="G117" s="250"/>
      <c r="H117" s="250"/>
      <c r="I117" s="250"/>
      <c r="J117" s="305"/>
      <c r="K117" s="271"/>
      <c r="L117" s="305"/>
      <c r="M117" s="249"/>
      <c r="N117" s="272"/>
      <c r="O117" s="272"/>
      <c r="P117" s="272"/>
      <c r="Q117" s="249"/>
    </row>
    <row r="118" spans="2:17" s="1" customFormat="1" ht="15.75" customHeight="1" x14ac:dyDescent="0.2">
      <c r="B118" s="251"/>
      <c r="C118" s="440"/>
      <c r="D118" s="288"/>
      <c r="E118" s="979" t="s">
        <v>2332</v>
      </c>
      <c r="F118" s="979"/>
      <c r="G118" s="979"/>
      <c r="H118" s="979"/>
      <c r="I118" s="705"/>
      <c r="J118" s="706">
        <f>SUBTOTAL(9,J7:J116)</f>
        <v>3038427.1963999998</v>
      </c>
      <c r="K118" s="707"/>
      <c r="L118" s="706">
        <f>SUBTOTAL(9,L7:L116)</f>
        <v>73491.67526689134</v>
      </c>
      <c r="M118" s="708"/>
      <c r="N118" s="709"/>
      <c r="O118" s="710"/>
      <c r="P118" s="711">
        <f>SUBTOTAL(9,P7:P116)</f>
        <v>110</v>
      </c>
      <c r="Q118" s="712"/>
    </row>
    <row r="119" spans="2:17" s="1" customFormat="1" ht="8.25" customHeight="1" x14ac:dyDescent="0.25">
      <c r="B119" s="64"/>
      <c r="C119" s="441"/>
      <c r="E119" s="289"/>
      <c r="F119" s="290"/>
      <c r="G119" s="291"/>
      <c r="H119" s="291"/>
      <c r="I119" s="292"/>
      <c r="J119" s="306"/>
      <c r="L119" s="307"/>
      <c r="M119" s="308"/>
      <c r="N119" s="103"/>
      <c r="O119" s="105"/>
      <c r="P119" s="309"/>
      <c r="Q119" s="310"/>
    </row>
    <row r="120" spans="2:17" s="1" customFormat="1" ht="8.25" customHeight="1" x14ac:dyDescent="0.25">
      <c r="B120" s="64"/>
      <c r="C120" s="441"/>
      <c r="D120" s="293"/>
      <c r="E120" s="293"/>
      <c r="I120" s="293"/>
      <c r="J120" s="311"/>
      <c r="L120" s="307"/>
      <c r="M120" s="308"/>
      <c r="N120" s="312"/>
      <c r="O120" s="105"/>
      <c r="P120" s="309"/>
      <c r="Q120" s="310"/>
    </row>
    <row r="121" spans="2:17" s="1" customFormat="1" ht="11.25" x14ac:dyDescent="0.2">
      <c r="B121" s="66"/>
      <c r="C121" s="442"/>
      <c r="D121" s="67"/>
      <c r="E121" s="69"/>
      <c r="F121" s="68"/>
      <c r="G121" s="69"/>
      <c r="H121" s="69"/>
      <c r="I121" s="69"/>
      <c r="J121" s="71"/>
      <c r="L121" s="97"/>
      <c r="M121" s="98"/>
      <c r="N121" s="99"/>
      <c r="O121" s="100"/>
      <c r="P121" s="97"/>
      <c r="Q121" s="122"/>
    </row>
    <row r="122" spans="2:17" s="1" customFormat="1" ht="17.25" customHeight="1" x14ac:dyDescent="0.25">
      <c r="B122" s="66"/>
      <c r="C122" s="442"/>
      <c r="E122" s="69"/>
      <c r="F122" s="68"/>
      <c r="G122" s="980" t="s">
        <v>2333</v>
      </c>
      <c r="H122" s="981"/>
      <c r="I122" s="982"/>
      <c r="J122" s="313"/>
      <c r="L122" s="313"/>
      <c r="M122" s="98"/>
      <c r="N122" s="103"/>
      <c r="O122" s="105"/>
      <c r="P122" s="97"/>
      <c r="Q122" s="122"/>
    </row>
    <row r="123" spans="2:17" s="1" customFormat="1" ht="25.5" x14ac:dyDescent="0.25">
      <c r="B123" s="66"/>
      <c r="C123" s="442"/>
      <c r="D123" s="69"/>
      <c r="E123" s="69"/>
      <c r="F123" s="68"/>
      <c r="G123" s="294"/>
      <c r="H123" s="295" t="s">
        <v>2334</v>
      </c>
      <c r="I123" s="296" t="s">
        <v>2335</v>
      </c>
      <c r="J123" s="314"/>
      <c r="K123" s="103" t="s">
        <v>2636</v>
      </c>
      <c r="L123" s="104" t="s">
        <v>2637</v>
      </c>
      <c r="M123" s="98"/>
      <c r="N123" s="99"/>
      <c r="O123" s="100"/>
      <c r="P123" s="97"/>
      <c r="Q123" s="122"/>
    </row>
    <row r="124" spans="2:17" s="1" customFormat="1" ht="19.899999999999999" customHeight="1" x14ac:dyDescent="0.2">
      <c r="B124" s="66"/>
      <c r="C124" s="442"/>
      <c r="D124" s="297"/>
      <c r="E124" s="297"/>
      <c r="F124" s="75"/>
      <c r="G124" s="298" t="s">
        <v>2343</v>
      </c>
      <c r="H124" s="299">
        <f>SUM(J7:J46)</f>
        <v>1166918.4099999999</v>
      </c>
      <c r="I124" s="300">
        <f>SUM(L7:L46)</f>
        <v>29929.162549852426</v>
      </c>
      <c r="J124" s="106"/>
      <c r="M124" s="107"/>
      <c r="N124" s="107"/>
      <c r="O124" s="107"/>
      <c r="P124" s="97"/>
      <c r="Q124" s="122"/>
    </row>
    <row r="125" spans="2:17" s="1" customFormat="1" ht="19.899999999999999" customHeight="1" x14ac:dyDescent="0.25">
      <c r="B125" s="66"/>
      <c r="C125" s="442"/>
      <c r="D125" s="297"/>
      <c r="E125" s="297"/>
      <c r="F125" s="75"/>
      <c r="G125" s="301" t="s">
        <v>2344</v>
      </c>
      <c r="H125" s="302">
        <f>SUM(J47:J52)</f>
        <v>95733.400000000009</v>
      </c>
      <c r="I125" s="303">
        <f>SUM(L47:L52)</f>
        <v>2250.5891098101474</v>
      </c>
      <c r="J125" s="106"/>
      <c r="K125" s="103" t="s">
        <v>2638</v>
      </c>
      <c r="L125" s="105" t="s">
        <v>2639</v>
      </c>
      <c r="M125" s="107"/>
      <c r="N125" s="107"/>
      <c r="O125" s="107"/>
      <c r="P125" s="97"/>
      <c r="Q125" s="122"/>
    </row>
    <row r="126" spans="2:17" s="1" customFormat="1" ht="19.899999999999999" customHeight="1" x14ac:dyDescent="0.2">
      <c r="B126" s="66"/>
      <c r="C126" s="442"/>
      <c r="D126" s="297"/>
      <c r="E126" s="297"/>
      <c r="F126" s="75"/>
      <c r="G126" s="301" t="s">
        <v>2346</v>
      </c>
      <c r="H126" s="302">
        <f>SUM(J53:J116)</f>
        <v>1775775.3863999993</v>
      </c>
      <c r="I126" s="303">
        <f>SUM(L53:L116)</f>
        <v>41311.923607228651</v>
      </c>
      <c r="J126" s="106"/>
      <c r="M126" s="107"/>
      <c r="N126" s="107"/>
      <c r="O126" s="107"/>
      <c r="P126" s="97"/>
      <c r="Q126" s="122"/>
    </row>
    <row r="127" spans="2:17" s="1" customFormat="1" ht="19.899999999999999" customHeight="1" x14ac:dyDescent="0.25">
      <c r="B127" s="66"/>
      <c r="C127" s="442"/>
      <c r="D127" s="297"/>
      <c r="E127" s="297"/>
      <c r="F127" s="75"/>
      <c r="G127" s="301" t="s">
        <v>2347</v>
      </c>
      <c r="H127" s="459" t="s">
        <v>2349</v>
      </c>
      <c r="I127" s="303" t="s">
        <v>2349</v>
      </c>
      <c r="J127" s="106"/>
      <c r="K127" s="108" t="s">
        <v>2640</v>
      </c>
      <c r="L127" s="104" t="s">
        <v>2641</v>
      </c>
      <c r="M127" s="107"/>
      <c r="N127" s="107"/>
      <c r="O127" s="107"/>
      <c r="P127" s="97"/>
      <c r="Q127" s="122"/>
    </row>
    <row r="128" spans="2:17" s="1" customFormat="1" ht="19.899999999999999" customHeight="1" x14ac:dyDescent="0.25">
      <c r="B128" s="66"/>
      <c r="C128" s="442"/>
      <c r="D128" s="297"/>
      <c r="E128" s="297"/>
      <c r="F128" s="75"/>
      <c r="G128" s="298" t="s">
        <v>2348</v>
      </c>
      <c r="H128" s="460" t="s">
        <v>2349</v>
      </c>
      <c r="I128" s="303" t="s">
        <v>2349</v>
      </c>
      <c r="J128" s="106"/>
      <c r="K128" s="108"/>
      <c r="L128" s="104"/>
      <c r="M128" s="107"/>
      <c r="N128" s="107"/>
      <c r="O128" s="107"/>
      <c r="P128" s="97"/>
      <c r="Q128" s="122"/>
    </row>
    <row r="129" spans="2:17" s="1" customFormat="1" ht="19.899999999999999" customHeight="1" x14ac:dyDescent="0.2">
      <c r="B129" s="66"/>
      <c r="C129" s="442"/>
      <c r="D129" s="297"/>
      <c r="E129" s="297"/>
      <c r="F129" s="75"/>
      <c r="G129" s="255" t="s">
        <v>2351</v>
      </c>
      <c r="H129" s="459" t="s">
        <v>2349</v>
      </c>
      <c r="I129" s="304" t="s">
        <v>2349</v>
      </c>
      <c r="J129" s="106"/>
      <c r="K129" s="107"/>
      <c r="L129" s="106"/>
      <c r="M129" s="107"/>
      <c r="N129" s="107"/>
      <c r="O129" s="107"/>
      <c r="P129" s="97"/>
      <c r="Q129" s="122"/>
    </row>
    <row r="130" spans="2:17" s="1" customFormat="1" ht="19.899999999999999" customHeight="1" x14ac:dyDescent="0.25">
      <c r="B130" s="66"/>
      <c r="C130" s="442"/>
      <c r="D130" s="297"/>
      <c r="E130" s="297"/>
      <c r="F130" s="75"/>
      <c r="G130" s="298" t="s">
        <v>2352</v>
      </c>
      <c r="H130" s="459" t="s">
        <v>2349</v>
      </c>
      <c r="I130" s="303" t="s">
        <v>2349</v>
      </c>
      <c r="J130" s="109" t="s">
        <v>6484</v>
      </c>
      <c r="K130" s="109"/>
      <c r="L130" s="107"/>
      <c r="M130" s="107"/>
      <c r="N130" s="107"/>
      <c r="O130" s="97"/>
      <c r="P130" s="68"/>
    </row>
    <row r="131" spans="2:17" s="1" customFormat="1" ht="19.899999999999999" customHeight="1" x14ac:dyDescent="0.2">
      <c r="B131" s="66"/>
      <c r="C131" s="442"/>
      <c r="D131" s="297"/>
      <c r="E131" s="297"/>
      <c r="F131" s="75"/>
      <c r="G131" s="315" t="s">
        <v>2353</v>
      </c>
      <c r="H131" s="460" t="s">
        <v>2349</v>
      </c>
      <c r="I131" s="300" t="s">
        <v>2349</v>
      </c>
      <c r="J131" s="322"/>
      <c r="K131" s="120"/>
      <c r="P131" s="68"/>
    </row>
    <row r="132" spans="2:17" s="1" customFormat="1" ht="19.899999999999999" customHeight="1" x14ac:dyDescent="0.25">
      <c r="B132" s="66"/>
      <c r="C132" s="442"/>
      <c r="D132" s="297"/>
      <c r="E132" s="297"/>
      <c r="F132" s="75"/>
      <c r="G132" s="301" t="s">
        <v>2354</v>
      </c>
      <c r="H132" s="459" t="s">
        <v>2349</v>
      </c>
      <c r="I132" s="303" t="s">
        <v>2349</v>
      </c>
      <c r="J132" s="109" t="s">
        <v>2642</v>
      </c>
      <c r="K132" s="120"/>
      <c r="P132" s="68"/>
    </row>
    <row r="133" spans="2:17" s="1" customFormat="1" ht="19.899999999999999" customHeight="1" x14ac:dyDescent="0.25">
      <c r="B133" s="66"/>
      <c r="C133" s="442"/>
      <c r="D133" s="297"/>
      <c r="E133" s="297"/>
      <c r="F133" s="75"/>
      <c r="G133" s="316" t="s">
        <v>2643</v>
      </c>
      <c r="H133" s="459" t="s">
        <v>2349</v>
      </c>
      <c r="I133" s="461" t="s">
        <v>2349</v>
      </c>
      <c r="J133" s="109"/>
      <c r="K133" s="120"/>
      <c r="P133" s="68"/>
    </row>
    <row r="134" spans="2:17" s="1" customFormat="1" ht="19.899999999999999" customHeight="1" x14ac:dyDescent="0.25">
      <c r="B134" s="66"/>
      <c r="C134" s="442"/>
      <c r="D134" s="297"/>
      <c r="E134" s="297"/>
      <c r="F134" s="75"/>
      <c r="G134" s="317" t="s">
        <v>2644</v>
      </c>
      <c r="H134" s="460" t="s">
        <v>2349</v>
      </c>
      <c r="I134" s="462" t="s">
        <v>2349</v>
      </c>
      <c r="J134" s="109"/>
      <c r="K134" s="120"/>
      <c r="P134" s="68"/>
    </row>
    <row r="135" spans="2:17" s="1" customFormat="1" ht="19.899999999999999" customHeight="1" x14ac:dyDescent="0.2">
      <c r="B135" s="66"/>
      <c r="C135" s="442"/>
      <c r="D135" s="297"/>
      <c r="E135" s="297"/>
      <c r="F135" s="75"/>
      <c r="G135" s="318" t="s">
        <v>2357</v>
      </c>
      <c r="H135" s="319">
        <f>SUM(H124:H132)</f>
        <v>3038427.1963999989</v>
      </c>
      <c r="I135" s="320">
        <f>SUM(I124:I132)</f>
        <v>73491.675266891223</v>
      </c>
    </row>
    <row r="136" spans="2:17" s="1" customFormat="1" ht="15" customHeight="1" x14ac:dyDescent="0.2">
      <c r="B136" s="66"/>
      <c r="C136" s="442"/>
      <c r="D136" s="69"/>
      <c r="E136" s="69"/>
      <c r="F136" s="68"/>
      <c r="G136" s="226"/>
      <c r="H136" s="227"/>
      <c r="I136" s="227"/>
    </row>
    <row r="137" spans="2:17" s="1" customFormat="1" ht="15" customHeight="1" x14ac:dyDescent="0.2">
      <c r="B137" s="66"/>
      <c r="C137" s="442"/>
      <c r="D137" s="69"/>
      <c r="E137" s="69"/>
      <c r="F137" s="68"/>
      <c r="G137" s="226"/>
      <c r="H137" s="227"/>
      <c r="I137" s="227"/>
    </row>
    <row r="138" spans="2:17" s="1" customFormat="1" ht="15" customHeight="1" x14ac:dyDescent="0.2">
      <c r="B138" s="66"/>
      <c r="C138" s="442"/>
      <c r="D138" s="69"/>
      <c r="E138" s="69"/>
      <c r="F138" s="68"/>
      <c r="G138" s="226"/>
      <c r="H138" s="227"/>
      <c r="I138" s="227"/>
    </row>
    <row r="139" spans="2:17" s="1" customFormat="1" ht="15" customHeight="1" x14ac:dyDescent="0.2">
      <c r="B139" s="66"/>
      <c r="C139" s="442"/>
      <c r="D139" s="69"/>
      <c r="E139" s="69"/>
      <c r="F139" s="68"/>
      <c r="G139" s="226"/>
      <c r="H139" s="227"/>
      <c r="I139" s="227"/>
    </row>
    <row r="140" spans="2:17" s="1" customFormat="1" ht="15" customHeight="1" x14ac:dyDescent="0.2">
      <c r="B140" s="66"/>
      <c r="C140" s="442"/>
      <c r="D140" s="69"/>
      <c r="E140" s="69"/>
      <c r="F140" s="68"/>
      <c r="G140" s="226"/>
      <c r="H140" s="227"/>
      <c r="I140" s="227"/>
    </row>
    <row r="141" spans="2:17" s="1" customFormat="1" ht="15" customHeight="1" x14ac:dyDescent="0.2">
      <c r="B141" s="66"/>
      <c r="C141" s="442"/>
      <c r="D141" s="69"/>
      <c r="E141" s="69"/>
      <c r="F141" s="68"/>
      <c r="G141" s="226"/>
      <c r="H141" s="227"/>
      <c r="I141" s="227"/>
    </row>
    <row r="142" spans="2:17" s="1" customFormat="1" ht="15" customHeight="1" x14ac:dyDescent="0.2">
      <c r="B142" s="66"/>
      <c r="C142" s="442"/>
      <c r="D142" s="69"/>
      <c r="E142" s="69"/>
      <c r="F142" s="68"/>
      <c r="G142" s="226"/>
      <c r="H142" s="227"/>
      <c r="I142" s="227"/>
    </row>
    <row r="143" spans="2:17" s="1" customFormat="1" ht="15" customHeight="1" x14ac:dyDescent="0.2">
      <c r="B143" s="66"/>
      <c r="C143" s="442"/>
      <c r="D143" s="69"/>
      <c r="E143" s="69"/>
      <c r="F143" s="68"/>
      <c r="G143" s="226"/>
      <c r="H143" s="227"/>
      <c r="I143" s="227"/>
    </row>
    <row r="144" spans="2:17" s="1" customFormat="1" ht="15" customHeight="1" x14ac:dyDescent="0.2">
      <c r="B144" s="66"/>
      <c r="C144" s="442"/>
      <c r="D144" s="69"/>
      <c r="E144" s="69"/>
      <c r="F144" s="68"/>
      <c r="G144" s="226"/>
      <c r="H144" s="227"/>
      <c r="I144" s="227"/>
    </row>
    <row r="145" spans="2:17" s="1" customFormat="1" ht="15" customHeight="1" x14ac:dyDescent="0.2">
      <c r="B145" s="66"/>
      <c r="C145" s="442"/>
      <c r="D145" s="69"/>
      <c r="E145" s="69"/>
      <c r="F145" s="68"/>
      <c r="G145" s="226"/>
      <c r="H145" s="227"/>
      <c r="I145" s="227"/>
    </row>
    <row r="146" spans="2:17" s="1" customFormat="1" ht="15" customHeight="1" x14ac:dyDescent="0.2">
      <c r="B146" s="66"/>
      <c r="C146" s="442"/>
      <c r="D146" s="69"/>
      <c r="E146" s="69"/>
      <c r="F146" s="68"/>
      <c r="G146" s="226"/>
      <c r="H146" s="227"/>
      <c r="I146" s="227"/>
    </row>
    <row r="147" spans="2:17" s="1" customFormat="1" ht="15" customHeight="1" x14ac:dyDescent="0.2">
      <c r="B147" s="66"/>
      <c r="C147" s="442"/>
      <c r="D147" s="69"/>
      <c r="E147" s="69"/>
      <c r="F147" s="68"/>
      <c r="G147" s="226"/>
      <c r="H147" s="227"/>
      <c r="I147" s="227"/>
    </row>
    <row r="148" spans="2:17" s="1" customFormat="1" x14ac:dyDescent="0.2">
      <c r="B148" s="66"/>
      <c r="C148" s="442"/>
      <c r="D148" s="69"/>
      <c r="E148" s="69"/>
      <c r="F148" s="68"/>
      <c r="G148" s="81"/>
      <c r="H148" s="82"/>
      <c r="I148" s="82"/>
      <c r="J148" s="111"/>
      <c r="Q148" s="122"/>
    </row>
    <row r="149" spans="2:17" s="1" customFormat="1" ht="12" customHeight="1" x14ac:dyDescent="0.2">
      <c r="B149" s="66"/>
      <c r="C149" s="442"/>
      <c r="D149" s="69"/>
      <c r="E149" s="69"/>
      <c r="F149" s="68"/>
      <c r="G149" s="81"/>
      <c r="H149" s="82"/>
      <c r="I149" s="82"/>
      <c r="J149" s="111"/>
      <c r="Q149" s="122"/>
    </row>
    <row r="150" spans="2:17" s="7" customFormat="1" ht="15" x14ac:dyDescent="0.25">
      <c r="B150" s="423" t="s">
        <v>2358</v>
      </c>
      <c r="C150" s="423"/>
      <c r="D150"/>
      <c r="E150"/>
      <c r="F150" s="983" t="s">
        <v>2359</v>
      </c>
      <c r="G150" s="983"/>
      <c r="H150"/>
      <c r="I150"/>
      <c r="J150" s="977" t="s">
        <v>2360</v>
      </c>
      <c r="K150" s="977"/>
      <c r="L150" s="977"/>
      <c r="M150" s="977"/>
      <c r="N150" s="128"/>
      <c r="O150" s="128"/>
      <c r="P150" s="128"/>
      <c r="Q150" s="128"/>
    </row>
    <row r="151" spans="2:17" s="1" customFormat="1" ht="15" x14ac:dyDescent="0.25">
      <c r="B151" s="424"/>
      <c r="C151" s="424"/>
      <c r="D151"/>
      <c r="E151"/>
      <c r="F151" s="373"/>
      <c r="G151" s="373"/>
      <c r="H151"/>
      <c r="I151"/>
      <c r="J151"/>
      <c r="K151"/>
      <c r="L151" s="120"/>
      <c r="M151" s="120"/>
      <c r="N151" s="120"/>
      <c r="O151" s="120"/>
      <c r="P151" s="120"/>
      <c r="Q151" s="120"/>
    </row>
    <row r="152" spans="2:17" s="1" customFormat="1" ht="15" x14ac:dyDescent="0.25">
      <c r="B152" s="419"/>
      <c r="C152" s="419"/>
      <c r="D152"/>
      <c r="E152"/>
      <c r="F152" s="374"/>
      <c r="G152"/>
      <c r="H152"/>
      <c r="I152"/>
      <c r="J152"/>
      <c r="K152"/>
      <c r="L152" s="120"/>
      <c r="M152" s="120"/>
      <c r="N152" s="120"/>
      <c r="O152" s="120"/>
      <c r="P152" s="120"/>
      <c r="Q152" s="120"/>
    </row>
    <row r="153" spans="2:17" s="1" customFormat="1" ht="15" x14ac:dyDescent="0.25">
      <c r="B153" s="425" t="s">
        <v>2361</v>
      </c>
      <c r="C153" s="425"/>
      <c r="D153"/>
      <c r="E153"/>
      <c r="F153" s="665" t="s">
        <v>2362</v>
      </c>
      <c r="G153"/>
      <c r="H153"/>
      <c r="I153"/>
      <c r="J153"/>
      <c r="K153"/>
      <c r="L153"/>
      <c r="M153" s="324"/>
      <c r="N153" s="511"/>
      <c r="O153" s="509"/>
      <c r="P153" s="120"/>
      <c r="Q153" s="120"/>
    </row>
    <row r="154" spans="2:17" s="1" customFormat="1" ht="15" x14ac:dyDescent="0.25">
      <c r="B154" s="671" t="s">
        <v>4880</v>
      </c>
      <c r="C154" s="419"/>
      <c r="D154"/>
      <c r="E154" s="376"/>
      <c r="F154" s="426" t="s">
        <v>4878</v>
      </c>
      <c r="G154"/>
      <c r="H154" s="664" t="s">
        <v>2363</v>
      </c>
      <c r="I154" s="321"/>
      <c r="J154" s="667" t="s">
        <v>5841</v>
      </c>
      <c r="K154" s="667"/>
      <c r="L154" s="669" t="s">
        <v>4871</v>
      </c>
      <c r="M154" s="666"/>
      <c r="N154" s="511"/>
      <c r="O154" s="509"/>
      <c r="P154" s="673"/>
      <c r="Q154" s="673"/>
    </row>
    <row r="155" spans="2:17" s="8" customFormat="1" ht="15" x14ac:dyDescent="0.25">
      <c r="B155" s="701" t="s">
        <v>4881</v>
      </c>
      <c r="C155" s="419"/>
      <c r="D155"/>
      <c r="E155" s="377"/>
      <c r="F155" s="427" t="s">
        <v>4879</v>
      </c>
      <c r="G155"/>
      <c r="H155" s="978" t="s">
        <v>2364</v>
      </c>
      <c r="I155" s="978"/>
      <c r="J155" s="118" t="s">
        <v>2645</v>
      </c>
      <c r="K155" s="668"/>
      <c r="L155" s="670" t="s">
        <v>4872</v>
      </c>
      <c r="M155" s="657"/>
      <c r="N155" s="511"/>
      <c r="O155" s="509"/>
      <c r="P155" s="674"/>
      <c r="Q155" s="674"/>
    </row>
    <row r="156" spans="2:17" s="1" customFormat="1" ht="15" x14ac:dyDescent="0.25">
      <c r="B156" s="423" t="s">
        <v>6388</v>
      </c>
      <c r="C156" s="423"/>
      <c r="D156" s="378"/>
      <c r="E156"/>
      <c r="F156"/>
      <c r="G156"/>
      <c r="H156" s="379"/>
      <c r="I156" s="379"/>
      <c r="J156" s="379"/>
      <c r="K156"/>
      <c r="L156"/>
      <c r="M156" s="324"/>
      <c r="N156" s="511"/>
      <c r="O156" s="509"/>
      <c r="P156" s="114"/>
      <c r="Q156" s="123"/>
    </row>
    <row r="157" spans="2:17" ht="15" x14ac:dyDescent="0.25">
      <c r="B157" s="419"/>
      <c r="C157" s="419"/>
      <c r="D157"/>
      <c r="E157"/>
      <c r="F157"/>
      <c r="G157"/>
      <c r="H157"/>
      <c r="I157"/>
      <c r="J157"/>
      <c r="K157"/>
      <c r="L157"/>
      <c r="M157" s="324"/>
      <c r="N157" s="511"/>
      <c r="O157" s="509"/>
    </row>
    <row r="158" spans="2:17" ht="15" x14ac:dyDescent="0.25">
      <c r="B158" s="419"/>
      <c r="C158" s="419"/>
      <c r="D158"/>
      <c r="E158"/>
      <c r="F158"/>
      <c r="G158"/>
      <c r="H158"/>
      <c r="I158"/>
      <c r="J158"/>
      <c r="K158"/>
      <c r="L158"/>
      <c r="M158" s="324"/>
      <c r="N158" s="511"/>
      <c r="O158" s="509"/>
    </row>
    <row r="160" spans="2:17" x14ac:dyDescent="0.2">
      <c r="H160" s="94"/>
    </row>
    <row r="164" spans="6:6" x14ac:dyDescent="0.2">
      <c r="F164" s="96"/>
    </row>
  </sheetData>
  <mergeCells count="5">
    <mergeCell ref="H155:I155"/>
    <mergeCell ref="E118:H118"/>
    <mergeCell ref="G122:I122"/>
    <mergeCell ref="J150:M150"/>
    <mergeCell ref="F150:G15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0" fitToWidth="3" fitToHeight="3" orientation="landscape" r:id="rId1"/>
  <headerFooter alignWithMargins="0">
    <oddHeader xml:space="preserve">&amp;R
</oddHeader>
    <oddFooter>&amp;C&amp;"Arial,Negrita"Pág. &amp;P - 9</oddFooter>
  </headerFooter>
  <rowBreaks count="8" manualBreakCount="8">
    <brk id="19" max="15" man="1"/>
    <brk id="32" max="15" man="1"/>
    <brk id="46" max="15" man="1"/>
    <brk id="60" max="15" man="1"/>
    <brk id="73" max="15" man="1"/>
    <brk id="88" max="15" man="1"/>
    <brk id="103" max="15" man="1"/>
    <brk id="120" max="15" man="1"/>
  </rowBreaks>
  <ignoredErrors>
    <ignoredError sqref="P118" unlockedFormula="1"/>
    <ignoredError sqref="G74:G77 G67:G7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2:R81"/>
  <sheetViews>
    <sheetView zoomScale="98" zoomScaleNormal="98" workbookViewId="0">
      <pane xSplit="4" topLeftCell="E1" activePane="topRight" state="frozenSplit"/>
      <selection pane="topRight" activeCell="H8" sqref="H8"/>
    </sheetView>
  </sheetViews>
  <sheetFormatPr baseColWidth="10" defaultColWidth="9.140625" defaultRowHeight="12.75" x14ac:dyDescent="0.2"/>
  <cols>
    <col min="1" max="1" width="1.28515625" style="9" customWidth="1"/>
    <col min="2" max="2" width="9.140625" style="9" customWidth="1"/>
    <col min="3" max="3" width="10" style="9" customWidth="1"/>
    <col min="4" max="4" width="9.5703125" style="9" customWidth="1"/>
    <col min="5" max="5" width="11.28515625" style="9" customWidth="1"/>
    <col min="6" max="6" width="23.85546875" style="9" customWidth="1"/>
    <col min="7" max="7" width="14.28515625" style="3" customWidth="1"/>
    <col min="8" max="8" width="17.7109375" style="10" customWidth="1"/>
    <col min="9" max="9" width="20.140625" style="10" customWidth="1"/>
    <col min="10" max="10" width="16.28515625" style="9" customWidth="1"/>
    <col min="11" max="11" width="10.28515625" style="9" customWidth="1"/>
    <col min="12" max="12" width="14" style="9" customWidth="1"/>
    <col min="13" max="13" width="6.28515625" style="9" customWidth="1"/>
    <col min="14" max="14" width="11.7109375" style="9" customWidth="1"/>
    <col min="15" max="15" width="8.42578125" style="9" customWidth="1"/>
    <col min="16" max="16" width="12.28515625" style="9" hidden="1" customWidth="1"/>
    <col min="17" max="17" width="13.42578125" style="9" customWidth="1"/>
    <col min="18" max="18" width="15.7109375" style="9" customWidth="1"/>
    <col min="19" max="16384" width="9.140625" style="9"/>
  </cols>
  <sheetData>
    <row r="2" spans="1:18" s="1" customFormat="1" ht="25.15" customHeight="1" x14ac:dyDescent="0.3">
      <c r="D2" s="11"/>
      <c r="E2" s="465" t="s">
        <v>2646</v>
      </c>
      <c r="F2" s="13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s="1" customFormat="1" ht="22.15" customHeight="1" x14ac:dyDescent="0.3">
      <c r="D3" s="11"/>
      <c r="E3" s="14" t="s">
        <v>2647</v>
      </c>
      <c r="F3" s="19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s="1" customFormat="1" ht="22.15" customHeight="1" x14ac:dyDescent="0.25">
      <c r="D4" s="17"/>
      <c r="E4" s="463" t="s">
        <v>7094</v>
      </c>
      <c r="F4" s="19"/>
      <c r="G4" s="20"/>
      <c r="H4" s="20"/>
      <c r="I4" s="20"/>
      <c r="J4" s="17"/>
      <c r="K4" s="17"/>
      <c r="L4" s="17"/>
      <c r="M4" s="17"/>
      <c r="N4" s="17"/>
      <c r="O4" s="17"/>
      <c r="P4" s="17"/>
      <c r="Q4" s="17"/>
      <c r="R4" s="17"/>
    </row>
    <row r="5" spans="1:18" s="1" customFormat="1" ht="10.15" customHeight="1" x14ac:dyDescent="0.2"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18" s="3" customFormat="1" ht="48.75" customHeight="1" x14ac:dyDescent="0.2">
      <c r="B6" s="432" t="s">
        <v>4318</v>
      </c>
      <c r="C6" s="452" t="s">
        <v>4319</v>
      </c>
      <c r="D6" s="433" t="s">
        <v>2367</v>
      </c>
      <c r="E6" s="434" t="s">
        <v>4</v>
      </c>
      <c r="F6" s="434" t="s">
        <v>5</v>
      </c>
      <c r="G6" s="434" t="s">
        <v>6</v>
      </c>
      <c r="H6" s="434" t="s">
        <v>7</v>
      </c>
      <c r="I6" s="247" t="s">
        <v>2369</v>
      </c>
      <c r="J6" s="435" t="s">
        <v>9</v>
      </c>
      <c r="K6" s="435" t="s">
        <v>10</v>
      </c>
      <c r="L6" s="436" t="s">
        <v>2370</v>
      </c>
      <c r="M6" s="437" t="s">
        <v>12</v>
      </c>
      <c r="N6" s="438" t="s">
        <v>2371</v>
      </c>
      <c r="O6" s="439" t="s">
        <v>14</v>
      </c>
      <c r="P6" s="433" t="s">
        <v>15</v>
      </c>
      <c r="Q6" s="433" t="s">
        <v>15</v>
      </c>
      <c r="R6" s="433" t="s">
        <v>16</v>
      </c>
    </row>
    <row r="7" spans="1:18" s="1" customFormat="1" ht="49.9" customHeight="1" x14ac:dyDescent="0.2">
      <c r="A7" s="278"/>
      <c r="B7" s="467">
        <v>42344</v>
      </c>
      <c r="C7" s="467" t="s">
        <v>2349</v>
      </c>
      <c r="D7" s="468" t="s">
        <v>2648</v>
      </c>
      <c r="E7" s="469" t="s">
        <v>2649</v>
      </c>
      <c r="F7" s="470" t="s">
        <v>2650</v>
      </c>
      <c r="G7" s="469" t="s">
        <v>28</v>
      </c>
      <c r="H7" s="469" t="s">
        <v>2651</v>
      </c>
      <c r="I7" s="469" t="s">
        <v>19</v>
      </c>
      <c r="J7" s="471">
        <f>6584+1185.12</f>
        <v>7769.12</v>
      </c>
      <c r="K7" s="354">
        <v>45.38</v>
      </c>
      <c r="L7" s="472">
        <f t="shared" ref="L7:L12" si="0">+J7/K7</f>
        <v>171.20141031291317</v>
      </c>
      <c r="M7" s="469">
        <v>60</v>
      </c>
      <c r="N7" s="343">
        <f t="shared" ref="N7:N12" si="1">IF(AND(L7&lt;&gt;0,M7&lt;&gt;0),L7/M7,0)</f>
        <v>2.8533568385485526</v>
      </c>
      <c r="O7" s="473">
        <f t="shared" ref="O7:O12" ca="1" si="2">IF(B7&lt;&gt;0,(ROUND((NOW()-B7)/30,0)),0)</f>
        <v>117</v>
      </c>
      <c r="P7" s="362">
        <f t="shared" ref="P7:P12" ca="1" si="3">IF(OR(L7=0,M7=0,O7=0),0,L7-(N7*O7))</f>
        <v>-162.64133979726748</v>
      </c>
      <c r="Q7" s="362">
        <f ca="1">IF(P7&lt;1,1,P7)</f>
        <v>1</v>
      </c>
      <c r="R7" s="468" t="s">
        <v>2652</v>
      </c>
    </row>
    <row r="8" spans="1:18" s="1" customFormat="1" ht="49.9" customHeight="1" x14ac:dyDescent="0.2">
      <c r="A8" s="278"/>
      <c r="B8" s="467">
        <v>42344</v>
      </c>
      <c r="C8" s="467" t="s">
        <v>2349</v>
      </c>
      <c r="D8" s="468" t="s">
        <v>2648</v>
      </c>
      <c r="E8" s="469" t="s">
        <v>2653</v>
      </c>
      <c r="F8" s="470" t="s">
        <v>2654</v>
      </c>
      <c r="G8" s="469" t="s">
        <v>28</v>
      </c>
      <c r="H8" s="469" t="s">
        <v>2655</v>
      </c>
      <c r="I8" s="469" t="s">
        <v>19</v>
      </c>
      <c r="J8" s="471">
        <f>5800+1044</f>
        <v>6844</v>
      </c>
      <c r="K8" s="354">
        <v>45.38</v>
      </c>
      <c r="L8" s="472">
        <f t="shared" si="0"/>
        <v>150.81533715293079</v>
      </c>
      <c r="M8" s="469">
        <v>60</v>
      </c>
      <c r="N8" s="343">
        <f t="shared" si="1"/>
        <v>2.5135889525488464</v>
      </c>
      <c r="O8" s="473">
        <f t="shared" ca="1" si="2"/>
        <v>117</v>
      </c>
      <c r="P8" s="362">
        <f t="shared" ca="1" si="3"/>
        <v>-143.27457029528421</v>
      </c>
      <c r="Q8" s="362">
        <f t="shared" ref="Q8:Q39" ca="1" si="4">IF(P8&lt;1,1,P8)</f>
        <v>1</v>
      </c>
      <c r="R8" s="468" t="s">
        <v>2652</v>
      </c>
    </row>
    <row r="9" spans="1:18" s="1" customFormat="1" ht="49.9" customHeight="1" x14ac:dyDescent="0.2">
      <c r="A9" s="278"/>
      <c r="B9" s="467">
        <v>42344</v>
      </c>
      <c r="C9" s="467" t="s">
        <v>2349</v>
      </c>
      <c r="D9" s="468" t="s">
        <v>2648</v>
      </c>
      <c r="E9" s="469" t="s">
        <v>2656</v>
      </c>
      <c r="F9" s="470" t="s">
        <v>2654</v>
      </c>
      <c r="G9" s="469" t="s">
        <v>28</v>
      </c>
      <c r="H9" s="469" t="s">
        <v>2655</v>
      </c>
      <c r="I9" s="469" t="s">
        <v>19</v>
      </c>
      <c r="J9" s="471">
        <f>5800+1044</f>
        <v>6844</v>
      </c>
      <c r="K9" s="354">
        <v>45.38</v>
      </c>
      <c r="L9" s="472">
        <f t="shared" si="0"/>
        <v>150.81533715293079</v>
      </c>
      <c r="M9" s="469">
        <v>60</v>
      </c>
      <c r="N9" s="343">
        <f t="shared" si="1"/>
        <v>2.5135889525488464</v>
      </c>
      <c r="O9" s="473">
        <f t="shared" ca="1" si="2"/>
        <v>117</v>
      </c>
      <c r="P9" s="362">
        <f t="shared" ca="1" si="3"/>
        <v>-143.27457029528421</v>
      </c>
      <c r="Q9" s="362">
        <f t="shared" ca="1" si="4"/>
        <v>1</v>
      </c>
      <c r="R9" s="468" t="s">
        <v>2652</v>
      </c>
    </row>
    <row r="10" spans="1:18" s="1" customFormat="1" ht="49.9" customHeight="1" x14ac:dyDescent="0.2">
      <c r="A10" s="278"/>
      <c r="B10" s="474">
        <v>42344</v>
      </c>
      <c r="C10" s="467" t="s">
        <v>2349</v>
      </c>
      <c r="D10" s="475" t="s">
        <v>2648</v>
      </c>
      <c r="E10" s="476" t="s">
        <v>2657</v>
      </c>
      <c r="F10" s="477" t="s">
        <v>2658</v>
      </c>
      <c r="G10" s="476" t="s">
        <v>28</v>
      </c>
      <c r="H10" s="476" t="s">
        <v>2659</v>
      </c>
      <c r="I10" s="476" t="s">
        <v>19</v>
      </c>
      <c r="J10" s="478">
        <f>8883+1598.94</f>
        <v>10481.94</v>
      </c>
      <c r="K10" s="358">
        <v>45.38</v>
      </c>
      <c r="L10" s="479">
        <f t="shared" si="0"/>
        <v>230.98148964301456</v>
      </c>
      <c r="M10" s="469">
        <v>60</v>
      </c>
      <c r="N10" s="349">
        <f t="shared" si="1"/>
        <v>3.8496914940502425</v>
      </c>
      <c r="O10" s="480">
        <f t="shared" ca="1" si="2"/>
        <v>117</v>
      </c>
      <c r="P10" s="481">
        <f t="shared" ca="1" si="3"/>
        <v>-219.43241516086383</v>
      </c>
      <c r="Q10" s="362">
        <f t="shared" ca="1" si="4"/>
        <v>1</v>
      </c>
      <c r="R10" s="475" t="s">
        <v>2652</v>
      </c>
    </row>
    <row r="11" spans="1:18" s="1" customFormat="1" ht="49.9" customHeight="1" x14ac:dyDescent="0.2">
      <c r="A11" s="278"/>
      <c r="B11" s="474">
        <v>42344</v>
      </c>
      <c r="C11" s="467" t="s">
        <v>2349</v>
      </c>
      <c r="D11" s="475" t="s">
        <v>2648</v>
      </c>
      <c r="E11" s="476" t="s">
        <v>2660</v>
      </c>
      <c r="F11" s="477" t="s">
        <v>2658</v>
      </c>
      <c r="G11" s="476" t="s">
        <v>28</v>
      </c>
      <c r="H11" s="476" t="s">
        <v>2659</v>
      </c>
      <c r="I11" s="476" t="s">
        <v>19</v>
      </c>
      <c r="J11" s="478">
        <f>8883+1598.94</f>
        <v>10481.94</v>
      </c>
      <c r="K11" s="358">
        <v>45.38</v>
      </c>
      <c r="L11" s="479">
        <f t="shared" si="0"/>
        <v>230.98148964301456</v>
      </c>
      <c r="M11" s="469">
        <v>60</v>
      </c>
      <c r="N11" s="349">
        <f t="shared" si="1"/>
        <v>3.8496914940502425</v>
      </c>
      <c r="O11" s="480">
        <f t="shared" ca="1" si="2"/>
        <v>117</v>
      </c>
      <c r="P11" s="481">
        <f t="shared" ca="1" si="3"/>
        <v>-219.43241516086383</v>
      </c>
      <c r="Q11" s="362">
        <f t="shared" ca="1" si="4"/>
        <v>1</v>
      </c>
      <c r="R11" s="475" t="s">
        <v>2652</v>
      </c>
    </row>
    <row r="12" spans="1:18" s="1" customFormat="1" ht="49.9" customHeight="1" x14ac:dyDescent="0.2">
      <c r="A12" s="278"/>
      <c r="B12" s="467">
        <v>42344</v>
      </c>
      <c r="C12" s="467" t="s">
        <v>2349</v>
      </c>
      <c r="D12" s="468" t="s">
        <v>2648</v>
      </c>
      <c r="E12" s="469" t="s">
        <v>2661</v>
      </c>
      <c r="F12" s="470" t="s">
        <v>2662</v>
      </c>
      <c r="G12" s="469" t="s">
        <v>28</v>
      </c>
      <c r="H12" s="469" t="s">
        <v>204</v>
      </c>
      <c r="I12" s="469" t="s">
        <v>19</v>
      </c>
      <c r="J12" s="471">
        <f>9950+1791</f>
        <v>11741</v>
      </c>
      <c r="K12" s="354">
        <v>45.38</v>
      </c>
      <c r="L12" s="472">
        <f t="shared" si="0"/>
        <v>258.72631115028645</v>
      </c>
      <c r="M12" s="469">
        <v>60</v>
      </c>
      <c r="N12" s="343">
        <f t="shared" si="1"/>
        <v>4.3121051858381074</v>
      </c>
      <c r="O12" s="473">
        <f t="shared" ca="1" si="2"/>
        <v>117</v>
      </c>
      <c r="P12" s="362">
        <f t="shared" ca="1" si="3"/>
        <v>-245.78999559277213</v>
      </c>
      <c r="Q12" s="362">
        <f t="shared" ca="1" si="4"/>
        <v>1</v>
      </c>
      <c r="R12" s="468" t="s">
        <v>2652</v>
      </c>
    </row>
    <row r="13" spans="1:18" s="1" customFormat="1" ht="49.9" customHeight="1" x14ac:dyDescent="0.2">
      <c r="A13" s="278"/>
      <c r="B13" s="482">
        <v>42344</v>
      </c>
      <c r="C13" s="467" t="s">
        <v>2349</v>
      </c>
      <c r="D13" s="468" t="s">
        <v>2648</v>
      </c>
      <c r="E13" s="469" t="s">
        <v>2663</v>
      </c>
      <c r="F13" s="470" t="s">
        <v>2664</v>
      </c>
      <c r="G13" s="469" t="s">
        <v>28</v>
      </c>
      <c r="H13" s="469" t="s">
        <v>2665</v>
      </c>
      <c r="I13" s="469" t="s">
        <v>19</v>
      </c>
      <c r="J13" s="354">
        <f t="shared" ref="J13:J18" si="5">3999+719.82</f>
        <v>4718.82</v>
      </c>
      <c r="K13" s="354">
        <v>45.38</v>
      </c>
      <c r="L13" s="472">
        <f t="shared" ref="L13:L39" si="6">+J13/K13</f>
        <v>103.98457470251211</v>
      </c>
      <c r="M13" s="469">
        <v>60</v>
      </c>
      <c r="N13" s="483">
        <f t="shared" ref="N13:N18" si="7">IF(AND(J13&lt;&gt;0,M13&lt;&gt;0),J13/M13,0)</f>
        <v>78.646999999999991</v>
      </c>
      <c r="O13" s="473">
        <f t="shared" ref="O13:O39" ca="1" si="8">IF(B13&lt;&gt;0,(ROUND((NOW()-B13)/30,0)),0)</f>
        <v>117</v>
      </c>
      <c r="P13" s="362">
        <f t="shared" ref="P13:P21" ca="1" si="9">IF(OR(J13=0,M13=0,O13=0),0,J13-(N13*O13))</f>
        <v>-4482.878999999999</v>
      </c>
      <c r="Q13" s="362">
        <f t="shared" ca="1" si="4"/>
        <v>1</v>
      </c>
      <c r="R13" s="468" t="s">
        <v>2652</v>
      </c>
    </row>
    <row r="14" spans="1:18" s="1" customFormat="1" ht="49.9" customHeight="1" x14ac:dyDescent="0.2">
      <c r="A14" s="278"/>
      <c r="B14" s="482">
        <v>42344</v>
      </c>
      <c r="C14" s="467" t="s">
        <v>2349</v>
      </c>
      <c r="D14" s="468" t="s">
        <v>2648</v>
      </c>
      <c r="E14" s="469" t="s">
        <v>2666</v>
      </c>
      <c r="F14" s="470" t="s">
        <v>2664</v>
      </c>
      <c r="G14" s="469" t="s">
        <v>28</v>
      </c>
      <c r="H14" s="469" t="s">
        <v>2667</v>
      </c>
      <c r="I14" s="469" t="s">
        <v>19</v>
      </c>
      <c r="J14" s="354">
        <f t="shared" si="5"/>
        <v>4718.82</v>
      </c>
      <c r="K14" s="354">
        <v>45.38</v>
      </c>
      <c r="L14" s="472">
        <f t="shared" si="6"/>
        <v>103.98457470251211</v>
      </c>
      <c r="M14" s="469">
        <v>60</v>
      </c>
      <c r="N14" s="483">
        <f t="shared" si="7"/>
        <v>78.646999999999991</v>
      </c>
      <c r="O14" s="473">
        <f t="shared" ca="1" si="8"/>
        <v>117</v>
      </c>
      <c r="P14" s="362">
        <f t="shared" ca="1" si="9"/>
        <v>-4482.878999999999</v>
      </c>
      <c r="Q14" s="362">
        <f t="shared" ca="1" si="4"/>
        <v>1</v>
      </c>
      <c r="R14" s="468" t="s">
        <v>2652</v>
      </c>
    </row>
    <row r="15" spans="1:18" s="1" customFormat="1" ht="49.9" customHeight="1" x14ac:dyDescent="0.2">
      <c r="A15" s="278"/>
      <c r="B15" s="482">
        <v>42344</v>
      </c>
      <c r="C15" s="467" t="s">
        <v>2349</v>
      </c>
      <c r="D15" s="468" t="s">
        <v>2648</v>
      </c>
      <c r="E15" s="469" t="s">
        <v>2668</v>
      </c>
      <c r="F15" s="470" t="s">
        <v>2664</v>
      </c>
      <c r="G15" s="469" t="s">
        <v>28</v>
      </c>
      <c r="H15" s="469" t="s">
        <v>2669</v>
      </c>
      <c r="I15" s="469" t="s">
        <v>19</v>
      </c>
      <c r="J15" s="354">
        <f t="shared" si="5"/>
        <v>4718.82</v>
      </c>
      <c r="K15" s="354">
        <v>45.38</v>
      </c>
      <c r="L15" s="472">
        <f t="shared" si="6"/>
        <v>103.98457470251211</v>
      </c>
      <c r="M15" s="469">
        <v>60</v>
      </c>
      <c r="N15" s="483">
        <f t="shared" si="7"/>
        <v>78.646999999999991</v>
      </c>
      <c r="O15" s="473">
        <f t="shared" ca="1" si="8"/>
        <v>117</v>
      </c>
      <c r="P15" s="362">
        <f t="shared" ca="1" si="9"/>
        <v>-4482.878999999999</v>
      </c>
      <c r="Q15" s="362">
        <f t="shared" ca="1" si="4"/>
        <v>1</v>
      </c>
      <c r="R15" s="468" t="s">
        <v>2652</v>
      </c>
    </row>
    <row r="16" spans="1:18" s="1" customFormat="1" ht="49.9" customHeight="1" x14ac:dyDescent="0.2">
      <c r="A16" s="278"/>
      <c r="B16" s="482">
        <v>42344</v>
      </c>
      <c r="C16" s="467" t="s">
        <v>2349</v>
      </c>
      <c r="D16" s="468" t="s">
        <v>2648</v>
      </c>
      <c r="E16" s="469" t="s">
        <v>2670</v>
      </c>
      <c r="F16" s="470" t="s">
        <v>2664</v>
      </c>
      <c r="G16" s="469" t="s">
        <v>28</v>
      </c>
      <c r="H16" s="469" t="s">
        <v>2671</v>
      </c>
      <c r="I16" s="469" t="s">
        <v>19</v>
      </c>
      <c r="J16" s="354">
        <f t="shared" si="5"/>
        <v>4718.82</v>
      </c>
      <c r="K16" s="354">
        <v>45.38</v>
      </c>
      <c r="L16" s="472">
        <f t="shared" si="6"/>
        <v>103.98457470251211</v>
      </c>
      <c r="M16" s="469">
        <v>60</v>
      </c>
      <c r="N16" s="483">
        <f t="shared" si="7"/>
        <v>78.646999999999991</v>
      </c>
      <c r="O16" s="473">
        <f t="shared" ca="1" si="8"/>
        <v>117</v>
      </c>
      <c r="P16" s="362">
        <f t="shared" ca="1" si="9"/>
        <v>-4482.878999999999</v>
      </c>
      <c r="Q16" s="362">
        <f t="shared" ca="1" si="4"/>
        <v>1</v>
      </c>
      <c r="R16" s="468" t="s">
        <v>2652</v>
      </c>
    </row>
    <row r="17" spans="1:18" s="1" customFormat="1" ht="49.9" customHeight="1" x14ac:dyDescent="0.2">
      <c r="A17" s="278"/>
      <c r="B17" s="482">
        <v>42344</v>
      </c>
      <c r="C17" s="467" t="s">
        <v>2349</v>
      </c>
      <c r="D17" s="468" t="s">
        <v>2648</v>
      </c>
      <c r="E17" s="469" t="s">
        <v>2672</v>
      </c>
      <c r="F17" s="470" t="s">
        <v>2664</v>
      </c>
      <c r="G17" s="469" t="s">
        <v>28</v>
      </c>
      <c r="H17" s="469" t="s">
        <v>2673</v>
      </c>
      <c r="I17" s="469" t="s">
        <v>19</v>
      </c>
      <c r="J17" s="354">
        <f t="shared" si="5"/>
        <v>4718.82</v>
      </c>
      <c r="K17" s="354">
        <v>45.38</v>
      </c>
      <c r="L17" s="472">
        <f t="shared" si="6"/>
        <v>103.98457470251211</v>
      </c>
      <c r="M17" s="469">
        <v>60</v>
      </c>
      <c r="N17" s="483">
        <f t="shared" si="7"/>
        <v>78.646999999999991</v>
      </c>
      <c r="O17" s="473">
        <f t="shared" ca="1" si="8"/>
        <v>117</v>
      </c>
      <c r="P17" s="362">
        <f t="shared" ca="1" si="9"/>
        <v>-4482.878999999999</v>
      </c>
      <c r="Q17" s="362">
        <f t="shared" ca="1" si="4"/>
        <v>1</v>
      </c>
      <c r="R17" s="468" t="s">
        <v>2652</v>
      </c>
    </row>
    <row r="18" spans="1:18" s="1" customFormat="1" ht="49.9" customHeight="1" x14ac:dyDescent="0.2">
      <c r="A18" s="278"/>
      <c r="B18" s="482">
        <v>42344</v>
      </c>
      <c r="C18" s="467" t="s">
        <v>2349</v>
      </c>
      <c r="D18" s="468" t="s">
        <v>2648</v>
      </c>
      <c r="E18" s="469" t="s">
        <v>2674</v>
      </c>
      <c r="F18" s="470" t="s">
        <v>2664</v>
      </c>
      <c r="G18" s="469" t="s">
        <v>28</v>
      </c>
      <c r="H18" s="469" t="s">
        <v>2675</v>
      </c>
      <c r="I18" s="469" t="s">
        <v>2676</v>
      </c>
      <c r="J18" s="354">
        <f t="shared" si="5"/>
        <v>4718.82</v>
      </c>
      <c r="K18" s="354">
        <v>45.38</v>
      </c>
      <c r="L18" s="472">
        <f t="shared" si="6"/>
        <v>103.98457470251211</v>
      </c>
      <c r="M18" s="469">
        <v>60</v>
      </c>
      <c r="N18" s="483">
        <f t="shared" si="7"/>
        <v>78.646999999999991</v>
      </c>
      <c r="O18" s="473">
        <f t="shared" ca="1" si="8"/>
        <v>117</v>
      </c>
      <c r="P18" s="362">
        <f t="shared" ca="1" si="9"/>
        <v>-4482.878999999999</v>
      </c>
      <c r="Q18" s="362">
        <f t="shared" ca="1" si="4"/>
        <v>1</v>
      </c>
      <c r="R18" s="468" t="s">
        <v>2652</v>
      </c>
    </row>
    <row r="19" spans="1:18" s="1" customFormat="1" ht="49.9" customHeight="1" x14ac:dyDescent="0.2">
      <c r="A19" s="278"/>
      <c r="B19" s="467">
        <v>42344</v>
      </c>
      <c r="C19" s="467" t="s">
        <v>2349</v>
      </c>
      <c r="D19" s="468" t="s">
        <v>2677</v>
      </c>
      <c r="E19" s="469" t="s">
        <v>2678</v>
      </c>
      <c r="F19" s="470" t="s">
        <v>2679</v>
      </c>
      <c r="G19" s="469" t="s">
        <v>2680</v>
      </c>
      <c r="H19" s="469" t="s">
        <v>60</v>
      </c>
      <c r="I19" s="469" t="s">
        <v>2681</v>
      </c>
      <c r="J19" s="354">
        <v>22500</v>
      </c>
      <c r="K19" s="354">
        <v>45.38</v>
      </c>
      <c r="L19" s="472">
        <f t="shared" si="6"/>
        <v>495.81313353900396</v>
      </c>
      <c r="M19" s="469">
        <v>60</v>
      </c>
      <c r="N19" s="483">
        <f t="shared" ref="N19:N39" si="10">IF(AND(J19&lt;&gt;0,M19&lt;&gt;0),J19/M19,0)</f>
        <v>375</v>
      </c>
      <c r="O19" s="473">
        <f t="shared" ca="1" si="8"/>
        <v>117</v>
      </c>
      <c r="P19" s="362">
        <f t="shared" ca="1" si="9"/>
        <v>-21375</v>
      </c>
      <c r="Q19" s="362">
        <f t="shared" ca="1" si="4"/>
        <v>1</v>
      </c>
      <c r="R19" s="468" t="s">
        <v>1327</v>
      </c>
    </row>
    <row r="20" spans="1:18" s="1" customFormat="1" ht="49.9" customHeight="1" x14ac:dyDescent="0.2">
      <c r="A20" s="278"/>
      <c r="B20" s="363">
        <v>42458</v>
      </c>
      <c r="C20" s="467" t="s">
        <v>2349</v>
      </c>
      <c r="D20" s="346" t="s">
        <v>2682</v>
      </c>
      <c r="E20" s="347" t="s">
        <v>2683</v>
      </c>
      <c r="F20" s="348" t="s">
        <v>2684</v>
      </c>
      <c r="G20" s="347" t="s">
        <v>2685</v>
      </c>
      <c r="H20" s="347" t="s">
        <v>2686</v>
      </c>
      <c r="I20" s="347" t="s">
        <v>19</v>
      </c>
      <c r="J20" s="358">
        <v>95403</v>
      </c>
      <c r="K20" s="358">
        <v>45.736600000000003</v>
      </c>
      <c r="L20" s="479">
        <f t="shared" si="6"/>
        <v>2085.9224341118488</v>
      </c>
      <c r="M20" s="476">
        <v>60</v>
      </c>
      <c r="N20" s="349">
        <f t="shared" si="10"/>
        <v>1590.05</v>
      </c>
      <c r="O20" s="350">
        <f t="shared" ca="1" si="8"/>
        <v>113</v>
      </c>
      <c r="P20" s="481">
        <f t="shared" ca="1" si="9"/>
        <v>-84272.65</v>
      </c>
      <c r="Q20" s="362">
        <f t="shared" ca="1" si="4"/>
        <v>1</v>
      </c>
      <c r="R20" s="346" t="s">
        <v>2687</v>
      </c>
    </row>
    <row r="21" spans="1:18" s="1" customFormat="1" ht="49.9" customHeight="1" x14ac:dyDescent="0.2">
      <c r="A21" s="278"/>
      <c r="B21" s="363">
        <v>42458</v>
      </c>
      <c r="C21" s="467" t="s">
        <v>2349</v>
      </c>
      <c r="D21" s="346" t="s">
        <v>2682</v>
      </c>
      <c r="E21" s="347" t="s">
        <v>2688</v>
      </c>
      <c r="F21" s="348" t="s">
        <v>2684</v>
      </c>
      <c r="G21" s="347" t="s">
        <v>2689</v>
      </c>
      <c r="H21" s="347" t="s">
        <v>2690</v>
      </c>
      <c r="I21" s="347" t="s">
        <v>19</v>
      </c>
      <c r="J21" s="358">
        <v>95403</v>
      </c>
      <c r="K21" s="358">
        <v>45.736600000000003</v>
      </c>
      <c r="L21" s="479">
        <f t="shared" si="6"/>
        <v>2085.9224341118488</v>
      </c>
      <c r="M21" s="476">
        <v>60</v>
      </c>
      <c r="N21" s="349">
        <f t="shared" si="10"/>
        <v>1590.05</v>
      </c>
      <c r="O21" s="350">
        <f t="shared" ca="1" si="8"/>
        <v>113</v>
      </c>
      <c r="P21" s="481">
        <f t="shared" ca="1" si="9"/>
        <v>-84272.65</v>
      </c>
      <c r="Q21" s="362">
        <f t="shared" ca="1" si="4"/>
        <v>1</v>
      </c>
      <c r="R21" s="346" t="s">
        <v>2687</v>
      </c>
    </row>
    <row r="22" spans="1:18" s="1" customFormat="1" ht="49.9" customHeight="1" x14ac:dyDescent="0.2">
      <c r="A22" s="278"/>
      <c r="B22" s="355">
        <v>42460</v>
      </c>
      <c r="C22" s="467" t="s">
        <v>2349</v>
      </c>
      <c r="D22" s="337" t="s">
        <v>2691</v>
      </c>
      <c r="E22" s="336" t="s">
        <v>2692</v>
      </c>
      <c r="F22" s="335" t="s">
        <v>2693</v>
      </c>
      <c r="G22" s="336" t="s">
        <v>2694</v>
      </c>
      <c r="H22" s="336" t="s">
        <v>2695</v>
      </c>
      <c r="I22" s="336" t="s">
        <v>19</v>
      </c>
      <c r="J22" s="354">
        <v>126117.81</v>
      </c>
      <c r="K22" s="354">
        <v>45.735500000000002</v>
      </c>
      <c r="L22" s="472">
        <f t="shared" si="6"/>
        <v>2757.5474194006842</v>
      </c>
      <c r="M22" s="476">
        <v>60</v>
      </c>
      <c r="N22" s="343">
        <f t="shared" si="10"/>
        <v>2101.9634999999998</v>
      </c>
      <c r="O22" s="344">
        <f t="shared" ca="1" si="8"/>
        <v>113</v>
      </c>
      <c r="P22" s="362">
        <f t="shared" ref="P22:P39" ca="1" si="11">IF(OR(J22=0,M22=0,O22=0),0,J22-(N22*O22))</f>
        <v>-111404.0655</v>
      </c>
      <c r="Q22" s="362">
        <f t="shared" ca="1" si="4"/>
        <v>1</v>
      </c>
      <c r="R22" s="337" t="s">
        <v>2696</v>
      </c>
    </row>
    <row r="23" spans="1:18" s="1" customFormat="1" ht="49.9" customHeight="1" x14ac:dyDescent="0.2">
      <c r="A23" s="278"/>
      <c r="B23" s="363">
        <v>42524</v>
      </c>
      <c r="C23" s="467" t="s">
        <v>2349</v>
      </c>
      <c r="D23" s="346" t="s">
        <v>2697</v>
      </c>
      <c r="E23" s="347" t="s">
        <v>2698</v>
      </c>
      <c r="F23" s="348" t="s">
        <v>2699</v>
      </c>
      <c r="G23" s="347" t="s">
        <v>2700</v>
      </c>
      <c r="H23" s="347" t="s">
        <v>2701</v>
      </c>
      <c r="I23" s="347" t="s">
        <v>19</v>
      </c>
      <c r="J23" s="358">
        <v>54390</v>
      </c>
      <c r="K23" s="358">
        <v>45.829599999999999</v>
      </c>
      <c r="L23" s="479">
        <f t="shared" si="6"/>
        <v>1186.7875783336533</v>
      </c>
      <c r="M23" s="476">
        <v>60</v>
      </c>
      <c r="N23" s="349">
        <f t="shared" si="10"/>
        <v>906.5</v>
      </c>
      <c r="O23" s="350">
        <f t="shared" ca="1" si="8"/>
        <v>111</v>
      </c>
      <c r="P23" s="481">
        <f t="shared" ca="1" si="11"/>
        <v>-46231.5</v>
      </c>
      <c r="Q23" s="362">
        <f t="shared" ca="1" si="4"/>
        <v>1</v>
      </c>
      <c r="R23" s="346" t="s">
        <v>2702</v>
      </c>
    </row>
    <row r="24" spans="1:18" s="1" customFormat="1" ht="49.9" customHeight="1" x14ac:dyDescent="0.2">
      <c r="A24" s="278"/>
      <c r="B24" s="363">
        <v>42524</v>
      </c>
      <c r="C24" s="467" t="s">
        <v>2349</v>
      </c>
      <c r="D24" s="346" t="s">
        <v>2697</v>
      </c>
      <c r="E24" s="347" t="s">
        <v>2703</v>
      </c>
      <c r="F24" s="348" t="s">
        <v>2704</v>
      </c>
      <c r="G24" s="347" t="s">
        <v>2705</v>
      </c>
      <c r="H24" s="347" t="s">
        <v>2706</v>
      </c>
      <c r="I24" s="347" t="s">
        <v>19</v>
      </c>
      <c r="J24" s="358">
        <v>54390</v>
      </c>
      <c r="K24" s="358">
        <v>45.829599999999999</v>
      </c>
      <c r="L24" s="479">
        <f t="shared" si="6"/>
        <v>1186.7875783336533</v>
      </c>
      <c r="M24" s="476">
        <v>60</v>
      </c>
      <c r="N24" s="349">
        <f t="shared" si="10"/>
        <v>906.5</v>
      </c>
      <c r="O24" s="350">
        <f t="shared" ca="1" si="8"/>
        <v>111</v>
      </c>
      <c r="P24" s="481">
        <f t="shared" ca="1" si="11"/>
        <v>-46231.5</v>
      </c>
      <c r="Q24" s="362">
        <f t="shared" ca="1" si="4"/>
        <v>1</v>
      </c>
      <c r="R24" s="346" t="s">
        <v>2702</v>
      </c>
    </row>
    <row r="25" spans="1:18" s="1" customFormat="1" ht="49.9" customHeight="1" x14ac:dyDescent="0.2">
      <c r="A25" s="278"/>
      <c r="B25" s="363">
        <v>42524</v>
      </c>
      <c r="C25" s="467" t="s">
        <v>2349</v>
      </c>
      <c r="D25" s="346" t="s">
        <v>2697</v>
      </c>
      <c r="E25" s="347" t="s">
        <v>2707</v>
      </c>
      <c r="F25" s="348" t="s">
        <v>2704</v>
      </c>
      <c r="G25" s="347" t="s">
        <v>2708</v>
      </c>
      <c r="H25" s="347" t="s">
        <v>60</v>
      </c>
      <c r="I25" s="347" t="s">
        <v>19</v>
      </c>
      <c r="J25" s="358">
        <v>54390</v>
      </c>
      <c r="K25" s="358">
        <v>45.829599999999999</v>
      </c>
      <c r="L25" s="479">
        <f t="shared" si="6"/>
        <v>1186.7875783336533</v>
      </c>
      <c r="M25" s="476">
        <v>60</v>
      </c>
      <c r="N25" s="349">
        <f t="shared" si="10"/>
        <v>906.5</v>
      </c>
      <c r="O25" s="350">
        <f t="shared" ca="1" si="8"/>
        <v>111</v>
      </c>
      <c r="P25" s="481">
        <f t="shared" ca="1" si="11"/>
        <v>-46231.5</v>
      </c>
      <c r="Q25" s="362">
        <f t="shared" ca="1" si="4"/>
        <v>1</v>
      </c>
      <c r="R25" s="346" t="s">
        <v>2702</v>
      </c>
    </row>
    <row r="26" spans="1:18" s="1" customFormat="1" ht="49.9" customHeight="1" x14ac:dyDescent="0.2">
      <c r="A26" s="278"/>
      <c r="B26" s="363">
        <v>42524</v>
      </c>
      <c r="C26" s="467" t="s">
        <v>2349</v>
      </c>
      <c r="D26" s="346" t="s">
        <v>2697</v>
      </c>
      <c r="E26" s="347" t="s">
        <v>2709</v>
      </c>
      <c r="F26" s="348" t="s">
        <v>2704</v>
      </c>
      <c r="G26" s="347" t="s">
        <v>2710</v>
      </c>
      <c r="H26" s="347" t="s">
        <v>2711</v>
      </c>
      <c r="I26" s="347" t="s">
        <v>19</v>
      </c>
      <c r="J26" s="358">
        <v>54390</v>
      </c>
      <c r="K26" s="358">
        <v>45.829599999999999</v>
      </c>
      <c r="L26" s="479">
        <f t="shared" si="6"/>
        <v>1186.7875783336533</v>
      </c>
      <c r="M26" s="476">
        <v>60</v>
      </c>
      <c r="N26" s="349">
        <f t="shared" si="10"/>
        <v>906.5</v>
      </c>
      <c r="O26" s="350">
        <f t="shared" ca="1" si="8"/>
        <v>111</v>
      </c>
      <c r="P26" s="481">
        <f t="shared" ca="1" si="11"/>
        <v>-46231.5</v>
      </c>
      <c r="Q26" s="362">
        <f t="shared" ca="1" si="4"/>
        <v>1</v>
      </c>
      <c r="R26" s="346" t="s">
        <v>2702</v>
      </c>
    </row>
    <row r="27" spans="1:18" s="1" customFormat="1" ht="49.9" customHeight="1" x14ac:dyDescent="0.2">
      <c r="A27" s="278"/>
      <c r="B27" s="363">
        <v>42524</v>
      </c>
      <c r="C27" s="467" t="s">
        <v>2349</v>
      </c>
      <c r="D27" s="346" t="s">
        <v>2697</v>
      </c>
      <c r="E27" s="347" t="s">
        <v>2712</v>
      </c>
      <c r="F27" s="348" t="s">
        <v>2704</v>
      </c>
      <c r="G27" s="347" t="s">
        <v>2713</v>
      </c>
      <c r="H27" s="347" t="s">
        <v>2714</v>
      </c>
      <c r="I27" s="347" t="s">
        <v>19</v>
      </c>
      <c r="J27" s="358">
        <v>54390</v>
      </c>
      <c r="K27" s="358">
        <v>45.829599999999999</v>
      </c>
      <c r="L27" s="479">
        <f t="shared" si="6"/>
        <v>1186.7875783336533</v>
      </c>
      <c r="M27" s="476">
        <v>60</v>
      </c>
      <c r="N27" s="349">
        <f t="shared" si="10"/>
        <v>906.5</v>
      </c>
      <c r="O27" s="350">
        <f t="shared" ca="1" si="8"/>
        <v>111</v>
      </c>
      <c r="P27" s="481">
        <f t="shared" ca="1" si="11"/>
        <v>-46231.5</v>
      </c>
      <c r="Q27" s="362">
        <f t="shared" ca="1" si="4"/>
        <v>1</v>
      </c>
      <c r="R27" s="346" t="s">
        <v>2702</v>
      </c>
    </row>
    <row r="28" spans="1:18" s="1" customFormat="1" ht="49.9" customHeight="1" x14ac:dyDescent="0.2">
      <c r="A28" s="278"/>
      <c r="B28" s="363">
        <v>42524</v>
      </c>
      <c r="C28" s="467" t="s">
        <v>2349</v>
      </c>
      <c r="D28" s="346" t="s">
        <v>2697</v>
      </c>
      <c r="E28" s="347" t="s">
        <v>2715</v>
      </c>
      <c r="F28" s="348" t="s">
        <v>2704</v>
      </c>
      <c r="G28" s="347" t="s">
        <v>2716</v>
      </c>
      <c r="H28" s="347" t="s">
        <v>2717</v>
      </c>
      <c r="I28" s="347" t="s">
        <v>19</v>
      </c>
      <c r="J28" s="358">
        <v>54390</v>
      </c>
      <c r="K28" s="358">
        <v>45.829599999999999</v>
      </c>
      <c r="L28" s="479">
        <f t="shared" si="6"/>
        <v>1186.7875783336533</v>
      </c>
      <c r="M28" s="476">
        <v>60</v>
      </c>
      <c r="N28" s="349">
        <f t="shared" si="10"/>
        <v>906.5</v>
      </c>
      <c r="O28" s="350">
        <f t="shared" ca="1" si="8"/>
        <v>111</v>
      </c>
      <c r="P28" s="481">
        <f t="shared" ca="1" si="11"/>
        <v>-46231.5</v>
      </c>
      <c r="Q28" s="362">
        <f t="shared" ca="1" si="4"/>
        <v>1</v>
      </c>
      <c r="R28" s="346" t="s">
        <v>2702</v>
      </c>
    </row>
    <row r="29" spans="1:18" s="1" customFormat="1" ht="49.9" customHeight="1" x14ac:dyDescent="0.2">
      <c r="A29" s="278"/>
      <c r="B29" s="363">
        <v>42524</v>
      </c>
      <c r="C29" s="467" t="s">
        <v>2349</v>
      </c>
      <c r="D29" s="346" t="s">
        <v>2697</v>
      </c>
      <c r="E29" s="347" t="s">
        <v>2718</v>
      </c>
      <c r="F29" s="348" t="s">
        <v>2704</v>
      </c>
      <c r="G29" s="347" t="s">
        <v>2719</v>
      </c>
      <c r="H29" s="347" t="s">
        <v>2720</v>
      </c>
      <c r="I29" s="347" t="s">
        <v>19</v>
      </c>
      <c r="J29" s="358">
        <v>54390</v>
      </c>
      <c r="K29" s="358">
        <v>45.829599999999999</v>
      </c>
      <c r="L29" s="479">
        <f t="shared" si="6"/>
        <v>1186.7875783336533</v>
      </c>
      <c r="M29" s="476">
        <v>60</v>
      </c>
      <c r="N29" s="349">
        <f t="shared" si="10"/>
        <v>906.5</v>
      </c>
      <c r="O29" s="350">
        <f t="shared" ca="1" si="8"/>
        <v>111</v>
      </c>
      <c r="P29" s="481">
        <f t="shared" ca="1" si="11"/>
        <v>-46231.5</v>
      </c>
      <c r="Q29" s="362">
        <f t="shared" ca="1" si="4"/>
        <v>1</v>
      </c>
      <c r="R29" s="346" t="s">
        <v>2702</v>
      </c>
    </row>
    <row r="30" spans="1:18" s="1" customFormat="1" ht="49.9" customHeight="1" x14ac:dyDescent="0.2">
      <c r="A30" s="278"/>
      <c r="B30" s="363">
        <v>42524</v>
      </c>
      <c r="C30" s="467" t="s">
        <v>2349</v>
      </c>
      <c r="D30" s="346" t="s">
        <v>2697</v>
      </c>
      <c r="E30" s="347" t="s">
        <v>2721</v>
      </c>
      <c r="F30" s="348" t="s">
        <v>2704</v>
      </c>
      <c r="G30" s="347" t="s">
        <v>2722</v>
      </c>
      <c r="H30" s="347" t="s">
        <v>2723</v>
      </c>
      <c r="I30" s="347" t="s">
        <v>19</v>
      </c>
      <c r="J30" s="358">
        <v>54390</v>
      </c>
      <c r="K30" s="358">
        <v>45.829599999999999</v>
      </c>
      <c r="L30" s="479">
        <f t="shared" si="6"/>
        <v>1186.7875783336533</v>
      </c>
      <c r="M30" s="476">
        <v>60</v>
      </c>
      <c r="N30" s="349">
        <f t="shared" si="10"/>
        <v>906.5</v>
      </c>
      <c r="O30" s="350">
        <f t="shared" ca="1" si="8"/>
        <v>111</v>
      </c>
      <c r="P30" s="481">
        <f t="shared" ca="1" si="11"/>
        <v>-46231.5</v>
      </c>
      <c r="Q30" s="362">
        <f t="shared" ca="1" si="4"/>
        <v>1</v>
      </c>
      <c r="R30" s="346" t="s">
        <v>2702</v>
      </c>
    </row>
    <row r="31" spans="1:18" s="1" customFormat="1" ht="49.9" customHeight="1" x14ac:dyDescent="0.2">
      <c r="A31" s="278"/>
      <c r="B31" s="363">
        <v>42732</v>
      </c>
      <c r="C31" s="467" t="s">
        <v>2349</v>
      </c>
      <c r="D31" s="346" t="s">
        <v>2724</v>
      </c>
      <c r="E31" s="347" t="s">
        <v>2725</v>
      </c>
      <c r="F31" s="348" t="s">
        <v>2726</v>
      </c>
      <c r="G31" s="347" t="s">
        <v>2727</v>
      </c>
      <c r="H31" s="347" t="s">
        <v>764</v>
      </c>
      <c r="I31" s="347" t="s">
        <v>19</v>
      </c>
      <c r="J31" s="358">
        <v>41693.24</v>
      </c>
      <c r="K31" s="358">
        <v>46.6492</v>
      </c>
      <c r="L31" s="479">
        <f t="shared" si="6"/>
        <v>893.76109343782957</v>
      </c>
      <c r="M31" s="476">
        <v>60</v>
      </c>
      <c r="N31" s="349">
        <f t="shared" si="10"/>
        <v>694.88733333333334</v>
      </c>
      <c r="O31" s="350">
        <f t="shared" ca="1" si="8"/>
        <v>104</v>
      </c>
      <c r="P31" s="481">
        <f t="shared" ca="1" si="11"/>
        <v>-30575.042666666668</v>
      </c>
      <c r="Q31" s="362">
        <f t="shared" ca="1" si="4"/>
        <v>1</v>
      </c>
      <c r="R31" s="346" t="s">
        <v>2728</v>
      </c>
    </row>
    <row r="32" spans="1:18" s="1" customFormat="1" ht="49.9" customHeight="1" x14ac:dyDescent="0.2">
      <c r="A32" s="278"/>
      <c r="B32" s="363">
        <v>42732</v>
      </c>
      <c r="C32" s="467" t="s">
        <v>2349</v>
      </c>
      <c r="D32" s="346" t="s">
        <v>2724</v>
      </c>
      <c r="E32" s="347" t="s">
        <v>2729</v>
      </c>
      <c r="F32" s="348" t="s">
        <v>2730</v>
      </c>
      <c r="G32" s="347" t="s">
        <v>2731</v>
      </c>
      <c r="H32" s="347" t="s">
        <v>764</v>
      </c>
      <c r="I32" s="347" t="s">
        <v>19</v>
      </c>
      <c r="J32" s="358">
        <f>3696.75+665.42</f>
        <v>4362.17</v>
      </c>
      <c r="K32" s="358">
        <v>46.6492</v>
      </c>
      <c r="L32" s="479">
        <f t="shared" si="6"/>
        <v>93.510070912255728</v>
      </c>
      <c r="M32" s="476">
        <v>60</v>
      </c>
      <c r="N32" s="349">
        <f t="shared" si="10"/>
        <v>72.702833333333331</v>
      </c>
      <c r="O32" s="350">
        <f t="shared" ca="1" si="8"/>
        <v>104</v>
      </c>
      <c r="P32" s="481">
        <f t="shared" ca="1" si="11"/>
        <v>-3198.9246666666659</v>
      </c>
      <c r="Q32" s="362">
        <f t="shared" ca="1" si="4"/>
        <v>1</v>
      </c>
      <c r="R32" s="346" t="s">
        <v>2728</v>
      </c>
    </row>
    <row r="33" spans="1:18" s="1" customFormat="1" ht="49.9" customHeight="1" x14ac:dyDescent="0.2">
      <c r="A33" s="278"/>
      <c r="B33" s="363">
        <v>42732</v>
      </c>
      <c r="C33" s="467" t="s">
        <v>2349</v>
      </c>
      <c r="D33" s="346" t="s">
        <v>2724</v>
      </c>
      <c r="E33" s="347" t="s">
        <v>2732</v>
      </c>
      <c r="F33" s="348" t="s">
        <v>2733</v>
      </c>
      <c r="G33" s="347" t="s">
        <v>2734</v>
      </c>
      <c r="H33" s="347" t="s">
        <v>764</v>
      </c>
      <c r="I33" s="347" t="s">
        <v>19</v>
      </c>
      <c r="J33" s="358">
        <f>10998.85/3</f>
        <v>3666.2833333333333</v>
      </c>
      <c r="K33" s="358">
        <v>46.6492</v>
      </c>
      <c r="L33" s="479">
        <f t="shared" si="6"/>
        <v>78.592630384515346</v>
      </c>
      <c r="M33" s="476">
        <v>60</v>
      </c>
      <c r="N33" s="349">
        <f t="shared" si="10"/>
        <v>61.104722222222222</v>
      </c>
      <c r="O33" s="350">
        <f t="shared" ca="1" si="8"/>
        <v>104</v>
      </c>
      <c r="P33" s="481">
        <f t="shared" ca="1" si="11"/>
        <v>-2688.6077777777778</v>
      </c>
      <c r="Q33" s="362">
        <f t="shared" ca="1" si="4"/>
        <v>1</v>
      </c>
      <c r="R33" s="346" t="s">
        <v>2728</v>
      </c>
    </row>
    <row r="34" spans="1:18" s="1" customFormat="1" ht="49.9" customHeight="1" x14ac:dyDescent="0.2">
      <c r="A34" s="278"/>
      <c r="B34" s="363">
        <v>42732</v>
      </c>
      <c r="C34" s="467" t="s">
        <v>2349</v>
      </c>
      <c r="D34" s="346" t="s">
        <v>2724</v>
      </c>
      <c r="E34" s="347" t="s">
        <v>2735</v>
      </c>
      <c r="F34" s="348" t="s">
        <v>2733</v>
      </c>
      <c r="G34" s="347" t="s">
        <v>2736</v>
      </c>
      <c r="H34" s="347" t="s">
        <v>34</v>
      </c>
      <c r="I34" s="347" t="s">
        <v>19</v>
      </c>
      <c r="J34" s="358">
        <f>10998.85/3</f>
        <v>3666.2833333333333</v>
      </c>
      <c r="K34" s="358">
        <v>46.6492</v>
      </c>
      <c r="L34" s="479">
        <f t="shared" si="6"/>
        <v>78.592630384515346</v>
      </c>
      <c r="M34" s="476">
        <v>60</v>
      </c>
      <c r="N34" s="349">
        <f t="shared" si="10"/>
        <v>61.104722222222222</v>
      </c>
      <c r="O34" s="350">
        <f t="shared" ca="1" si="8"/>
        <v>104</v>
      </c>
      <c r="P34" s="481">
        <f t="shared" ca="1" si="11"/>
        <v>-2688.6077777777778</v>
      </c>
      <c r="Q34" s="362">
        <f t="shared" ca="1" si="4"/>
        <v>1</v>
      </c>
      <c r="R34" s="346" t="s">
        <v>2728</v>
      </c>
    </row>
    <row r="35" spans="1:18" s="1" customFormat="1" ht="49.9" customHeight="1" x14ac:dyDescent="0.2">
      <c r="A35" s="278"/>
      <c r="B35" s="363">
        <v>42732</v>
      </c>
      <c r="C35" s="467" t="s">
        <v>2349</v>
      </c>
      <c r="D35" s="346" t="s">
        <v>2724</v>
      </c>
      <c r="E35" s="347" t="s">
        <v>2737</v>
      </c>
      <c r="F35" s="348" t="s">
        <v>2733</v>
      </c>
      <c r="G35" s="347" t="s">
        <v>2738</v>
      </c>
      <c r="H35" s="347" t="s">
        <v>2739</v>
      </c>
      <c r="I35" s="347" t="s">
        <v>19</v>
      </c>
      <c r="J35" s="358">
        <f>10998.85/3</f>
        <v>3666.2833333333333</v>
      </c>
      <c r="K35" s="358">
        <v>46.6492</v>
      </c>
      <c r="L35" s="479">
        <f t="shared" si="6"/>
        <v>78.592630384515346</v>
      </c>
      <c r="M35" s="476">
        <v>60</v>
      </c>
      <c r="N35" s="349">
        <f t="shared" si="10"/>
        <v>61.104722222222222</v>
      </c>
      <c r="O35" s="350">
        <f t="shared" ca="1" si="8"/>
        <v>104</v>
      </c>
      <c r="P35" s="481">
        <f t="shared" ca="1" si="11"/>
        <v>-2688.6077777777778</v>
      </c>
      <c r="Q35" s="362">
        <f t="shared" ca="1" si="4"/>
        <v>1</v>
      </c>
      <c r="R35" s="346" t="s">
        <v>2728</v>
      </c>
    </row>
    <row r="36" spans="1:18" s="1" customFormat="1" ht="49.9" customHeight="1" x14ac:dyDescent="0.2">
      <c r="A36" s="278"/>
      <c r="B36" s="363">
        <v>42809</v>
      </c>
      <c r="C36" s="467" t="s">
        <v>2349</v>
      </c>
      <c r="D36" s="346" t="s">
        <v>2740</v>
      </c>
      <c r="E36" s="347" t="s">
        <v>2741</v>
      </c>
      <c r="F36" s="348" t="s">
        <v>2742</v>
      </c>
      <c r="G36" s="347" t="s">
        <v>2743</v>
      </c>
      <c r="H36" s="347" t="s">
        <v>2744</v>
      </c>
      <c r="I36" s="347" t="s">
        <v>19</v>
      </c>
      <c r="J36" s="358">
        <v>42523.65</v>
      </c>
      <c r="K36" s="358">
        <v>47.201700000000002</v>
      </c>
      <c r="L36" s="479">
        <f t="shared" si="6"/>
        <v>900.89234074196474</v>
      </c>
      <c r="M36" s="476">
        <v>60</v>
      </c>
      <c r="N36" s="349">
        <f t="shared" si="10"/>
        <v>708.72750000000008</v>
      </c>
      <c r="O36" s="350">
        <f t="shared" ca="1" si="8"/>
        <v>101</v>
      </c>
      <c r="P36" s="481">
        <f t="shared" ca="1" si="11"/>
        <v>-29057.827500000007</v>
      </c>
      <c r="Q36" s="362">
        <f t="shared" ca="1" si="4"/>
        <v>1</v>
      </c>
      <c r="R36" s="346" t="s">
        <v>2745</v>
      </c>
    </row>
    <row r="37" spans="1:18" s="1" customFormat="1" ht="49.9" customHeight="1" x14ac:dyDescent="0.2">
      <c r="A37" s="278"/>
      <c r="B37" s="363">
        <v>42824</v>
      </c>
      <c r="C37" s="467" t="s">
        <v>2349</v>
      </c>
      <c r="D37" s="346" t="s">
        <v>2746</v>
      </c>
      <c r="E37" s="347" t="s">
        <v>2747</v>
      </c>
      <c r="F37" s="348" t="s">
        <v>2748</v>
      </c>
      <c r="G37" s="347" t="s">
        <v>28</v>
      </c>
      <c r="H37" s="347" t="s">
        <v>60</v>
      </c>
      <c r="I37" s="347" t="s">
        <v>19</v>
      </c>
      <c r="J37" s="358">
        <f>14183.22+2552.98</f>
        <v>16736.2</v>
      </c>
      <c r="K37" s="358">
        <v>47.263399999999997</v>
      </c>
      <c r="L37" s="479">
        <f t="shared" si="6"/>
        <v>354.10486761426392</v>
      </c>
      <c r="M37" s="476">
        <v>60</v>
      </c>
      <c r="N37" s="349">
        <f t="shared" si="10"/>
        <v>278.93666666666667</v>
      </c>
      <c r="O37" s="350">
        <f t="shared" ca="1" si="8"/>
        <v>101</v>
      </c>
      <c r="P37" s="481">
        <f t="shared" ca="1" si="11"/>
        <v>-11436.403333333332</v>
      </c>
      <c r="Q37" s="362">
        <f t="shared" ca="1" si="4"/>
        <v>1</v>
      </c>
      <c r="R37" s="346" t="s">
        <v>2745</v>
      </c>
    </row>
    <row r="38" spans="1:18" s="1" customFormat="1" ht="49.9" customHeight="1" x14ac:dyDescent="0.2">
      <c r="A38" s="278"/>
      <c r="B38" s="363">
        <v>42824</v>
      </c>
      <c r="C38" s="467" t="s">
        <v>2349</v>
      </c>
      <c r="D38" s="346" t="s">
        <v>2746</v>
      </c>
      <c r="E38" s="347" t="s">
        <v>2749</v>
      </c>
      <c r="F38" s="348" t="s">
        <v>2750</v>
      </c>
      <c r="G38" s="347" t="s">
        <v>28</v>
      </c>
      <c r="H38" s="347" t="s">
        <v>60</v>
      </c>
      <c r="I38" s="347" t="s">
        <v>19</v>
      </c>
      <c r="J38" s="358">
        <f>2426.09+436.7</f>
        <v>2862.79</v>
      </c>
      <c r="K38" s="358">
        <v>47.263399999999997</v>
      </c>
      <c r="L38" s="479">
        <f t="shared" si="6"/>
        <v>60.570970349149661</v>
      </c>
      <c r="M38" s="476">
        <v>60</v>
      </c>
      <c r="N38" s="349">
        <f t="shared" si="10"/>
        <v>47.713166666666666</v>
      </c>
      <c r="O38" s="350">
        <f t="shared" ca="1" si="8"/>
        <v>101</v>
      </c>
      <c r="P38" s="481">
        <f t="shared" ca="1" si="11"/>
        <v>-1956.2398333333331</v>
      </c>
      <c r="Q38" s="362">
        <f t="shared" ca="1" si="4"/>
        <v>1</v>
      </c>
      <c r="R38" s="346" t="s">
        <v>2745</v>
      </c>
    </row>
    <row r="39" spans="1:18" s="1" customFormat="1" ht="49.9" customHeight="1" x14ac:dyDescent="0.2">
      <c r="A39" s="278"/>
      <c r="B39" s="363">
        <v>42824</v>
      </c>
      <c r="C39" s="467" t="s">
        <v>2349</v>
      </c>
      <c r="D39" s="346" t="s">
        <v>2746</v>
      </c>
      <c r="E39" s="347" t="s">
        <v>2751</v>
      </c>
      <c r="F39" s="348" t="s">
        <v>2752</v>
      </c>
      <c r="G39" s="347" t="s">
        <v>2753</v>
      </c>
      <c r="H39" s="347" t="s">
        <v>2754</v>
      </c>
      <c r="I39" s="347" t="s">
        <v>19</v>
      </c>
      <c r="J39" s="358">
        <f>7120.74+1281.73</f>
        <v>8402.4699999999993</v>
      </c>
      <c r="K39" s="358">
        <v>47.263399999999997</v>
      </c>
      <c r="L39" s="479">
        <f t="shared" si="6"/>
        <v>177.77963498182527</v>
      </c>
      <c r="M39" s="476">
        <v>60</v>
      </c>
      <c r="N39" s="349">
        <f t="shared" si="10"/>
        <v>140.04116666666667</v>
      </c>
      <c r="O39" s="350">
        <f t="shared" ca="1" si="8"/>
        <v>101</v>
      </c>
      <c r="P39" s="481">
        <f t="shared" ca="1" si="11"/>
        <v>-5741.6878333333334</v>
      </c>
      <c r="Q39" s="362">
        <f t="shared" ca="1" si="4"/>
        <v>1</v>
      </c>
      <c r="R39" s="346" t="s">
        <v>2745</v>
      </c>
    </row>
    <row r="40" spans="1:18" s="1" customFormat="1" ht="5.25" customHeight="1" x14ac:dyDescent="0.2">
      <c r="A40" s="278"/>
      <c r="B40" s="484"/>
      <c r="C40" s="484"/>
      <c r="D40" s="485"/>
      <c r="E40" s="485"/>
      <c r="F40" s="485"/>
      <c r="G40" s="486"/>
      <c r="H40" s="486"/>
      <c r="I40" s="486"/>
      <c r="J40" s="487"/>
      <c r="K40" s="487"/>
      <c r="L40" s="487"/>
      <c r="M40" s="485"/>
      <c r="N40" s="488"/>
      <c r="O40" s="488"/>
      <c r="P40" s="488"/>
      <c r="Q40" s="488"/>
      <c r="R40" s="485"/>
    </row>
    <row r="41" spans="1:18" s="1" customFormat="1" ht="15.75" customHeight="1" x14ac:dyDescent="0.2">
      <c r="A41" s="278"/>
      <c r="B41" s="489"/>
      <c r="C41" s="490"/>
      <c r="D41" s="491"/>
      <c r="E41" s="979" t="s">
        <v>2332</v>
      </c>
      <c r="F41" s="979"/>
      <c r="G41" s="979"/>
      <c r="H41" s="979"/>
      <c r="I41" s="705"/>
      <c r="J41" s="711">
        <f>SUBTOTAL(9,J7:J39)</f>
        <v>984598.1</v>
      </c>
      <c r="K41" s="707"/>
      <c r="L41" s="711">
        <f>SUBTOTAL(9,L7:L39)</f>
        <v>21453.331740293605</v>
      </c>
      <c r="M41" s="708"/>
      <c r="N41" s="709"/>
      <c r="O41" s="710"/>
      <c r="P41" s="711">
        <f ca="1">SUBTOTAL(9,P7:P39)</f>
        <v>-789239.43397296919</v>
      </c>
      <c r="Q41" s="713">
        <f ca="1">SUM(Q7:Q39)</f>
        <v>33</v>
      </c>
      <c r="R41" s="492"/>
    </row>
    <row r="42" spans="1:18" s="1" customFormat="1" ht="6.75" customHeight="1" x14ac:dyDescent="0.2">
      <c r="B42" s="66"/>
      <c r="C42" s="442"/>
      <c r="D42" s="67"/>
      <c r="E42" s="714"/>
      <c r="F42" s="715"/>
      <c r="G42" s="714"/>
      <c r="H42" s="716"/>
      <c r="I42" s="716"/>
      <c r="J42" s="717"/>
      <c r="K42" s="718"/>
      <c r="L42" s="719"/>
      <c r="M42" s="720"/>
      <c r="N42" s="721"/>
      <c r="O42" s="722"/>
      <c r="P42" s="719"/>
      <c r="Q42" s="719"/>
      <c r="R42" s="122"/>
    </row>
    <row r="43" spans="1:18" s="1" customFormat="1" ht="6.75" customHeight="1" x14ac:dyDescent="0.2">
      <c r="B43" s="66"/>
      <c r="C43" s="442"/>
      <c r="D43" s="67"/>
      <c r="E43" s="67"/>
      <c r="F43" s="68"/>
      <c r="G43" s="69"/>
      <c r="H43" s="69"/>
      <c r="I43" s="69"/>
      <c r="J43" s="71"/>
      <c r="L43" s="97"/>
      <c r="M43" s="98"/>
      <c r="N43" s="99"/>
      <c r="O43" s="100"/>
      <c r="P43" s="97"/>
      <c r="Q43" s="97"/>
      <c r="R43" s="122"/>
    </row>
    <row r="44" spans="1:18" s="1" customFormat="1" ht="17.45" customHeight="1" x14ac:dyDescent="0.2">
      <c r="B44" s="66"/>
      <c r="C44" s="442"/>
      <c r="D44" s="67"/>
      <c r="E44" s="67"/>
      <c r="F44" s="68"/>
      <c r="G44" s="69"/>
      <c r="H44" s="69"/>
      <c r="I44" s="69"/>
      <c r="J44" s="71"/>
      <c r="L44" s="97"/>
      <c r="M44" s="98"/>
      <c r="N44" s="99"/>
      <c r="O44" s="100"/>
      <c r="P44" s="97"/>
      <c r="Q44" s="97"/>
      <c r="R44" s="122"/>
    </row>
    <row r="45" spans="1:18" s="1" customFormat="1" ht="17.45" customHeight="1" x14ac:dyDescent="0.2">
      <c r="B45" s="66"/>
      <c r="C45" s="442"/>
      <c r="D45" s="67"/>
      <c r="E45" s="67"/>
      <c r="F45" s="68"/>
      <c r="G45" s="69"/>
      <c r="H45" s="69"/>
      <c r="I45" s="69"/>
      <c r="J45" s="71"/>
      <c r="L45" s="97"/>
      <c r="M45" s="98"/>
      <c r="N45" s="99"/>
      <c r="O45" s="100"/>
      <c r="P45" s="97"/>
      <c r="Q45" s="97"/>
      <c r="R45" s="122"/>
    </row>
    <row r="46" spans="1:18" s="1" customFormat="1" ht="17.25" customHeight="1" x14ac:dyDescent="0.25">
      <c r="B46" s="66"/>
      <c r="C46" s="442"/>
      <c r="D46" s="70"/>
      <c r="E46" s="70"/>
      <c r="F46" s="68"/>
      <c r="G46" s="984" t="s">
        <v>2333</v>
      </c>
      <c r="H46" s="985"/>
      <c r="I46" s="986"/>
      <c r="J46" s="103" t="s">
        <v>2636</v>
      </c>
      <c r="K46" s="104" t="s">
        <v>2637</v>
      </c>
      <c r="L46" s="97"/>
      <c r="M46" s="122"/>
      <c r="R46" s="92"/>
    </row>
    <row r="47" spans="1:18" s="1" customFormat="1" ht="25.5" x14ac:dyDescent="0.25">
      <c r="B47" s="66"/>
      <c r="C47" s="442"/>
      <c r="D47" s="70"/>
      <c r="E47" s="70"/>
      <c r="F47" s="68"/>
      <c r="G47" s="252"/>
      <c r="H47" s="253" t="s">
        <v>2334</v>
      </c>
      <c r="I47" s="254" t="s">
        <v>2335</v>
      </c>
      <c r="J47" s="103" t="s">
        <v>2755</v>
      </c>
      <c r="K47" s="105" t="s">
        <v>2639</v>
      </c>
      <c r="L47" s="97"/>
      <c r="M47" s="68"/>
      <c r="R47" s="92"/>
    </row>
    <row r="48" spans="1:18" s="1" customFormat="1" ht="19.899999999999999" customHeight="1" x14ac:dyDescent="0.25">
      <c r="B48" s="66"/>
      <c r="C48" s="442"/>
      <c r="D48" s="71"/>
      <c r="E48" s="71"/>
      <c r="F48" s="75"/>
      <c r="G48" s="255" t="s">
        <v>2347</v>
      </c>
      <c r="H48" s="256">
        <f>SUM(J7:J19)</f>
        <v>104974.92000000001</v>
      </c>
      <c r="I48" s="256">
        <f>SUM(L7:L19)</f>
        <v>2313.2419568091673</v>
      </c>
      <c r="J48" s="106"/>
      <c r="K48" s="107"/>
      <c r="L48" s="106"/>
      <c r="M48" s="107"/>
      <c r="N48" s="108"/>
      <c r="O48" s="104"/>
      <c r="P48" s="97"/>
      <c r="Q48" s="97"/>
      <c r="R48" s="122"/>
    </row>
    <row r="49" spans="2:18" s="1" customFormat="1" ht="19.899999999999999" customHeight="1" x14ac:dyDescent="0.2">
      <c r="B49" s="66"/>
      <c r="C49" s="442"/>
      <c r="D49" s="71"/>
      <c r="E49" s="71"/>
      <c r="F49" s="75"/>
      <c r="G49" s="255" t="s">
        <v>2348</v>
      </c>
      <c r="H49" s="256">
        <f>SUM(J20:J35)</f>
        <v>809098.07000000007</v>
      </c>
      <c r="I49" s="256">
        <f>SUM(L20:L35)</f>
        <v>17646.741969797236</v>
      </c>
      <c r="J49" s="106"/>
      <c r="K49" s="107"/>
      <c r="L49" s="106"/>
      <c r="M49" s="107"/>
      <c r="N49" s="99"/>
      <c r="O49" s="100"/>
      <c r="P49" s="97"/>
      <c r="Q49" s="97"/>
      <c r="R49" s="122"/>
    </row>
    <row r="50" spans="2:18" s="1" customFormat="1" ht="19.899999999999999" customHeight="1" x14ac:dyDescent="0.2">
      <c r="B50" s="66"/>
      <c r="C50" s="442"/>
      <c r="D50" s="71"/>
      <c r="E50" s="71"/>
      <c r="F50" s="75"/>
      <c r="G50" s="255" t="s">
        <v>2351</v>
      </c>
      <c r="H50" s="256">
        <f>SUM(J36:J39)</f>
        <v>70525.11</v>
      </c>
      <c r="I50" s="256">
        <f>SUM(L36:L39)</f>
        <v>1493.3478136872034</v>
      </c>
      <c r="J50" s="238" t="s">
        <v>6400</v>
      </c>
      <c r="K50" s="273"/>
      <c r="L50" s="274"/>
      <c r="M50" s="274"/>
      <c r="N50" s="274"/>
      <c r="O50" s="275"/>
      <c r="P50" s="276"/>
      <c r="Q50" s="276"/>
      <c r="R50" s="280"/>
    </row>
    <row r="51" spans="2:18" s="1" customFormat="1" ht="19.899999999999999" customHeight="1" x14ac:dyDescent="0.25">
      <c r="B51" s="66"/>
      <c r="C51" s="442"/>
      <c r="D51" s="71"/>
      <c r="E51" s="71"/>
      <c r="F51" s="75"/>
      <c r="G51" s="257" t="s">
        <v>2352</v>
      </c>
      <c r="H51" s="456">
        <v>0</v>
      </c>
      <c r="I51" s="258" t="s">
        <v>2349</v>
      </c>
      <c r="J51" s="109"/>
      <c r="K51" s="106"/>
      <c r="L51" s="107"/>
      <c r="M51" s="107"/>
      <c r="N51" s="107"/>
      <c r="O51" s="97"/>
      <c r="P51" s="68"/>
      <c r="Q51" s="68"/>
      <c r="R51" s="92"/>
    </row>
    <row r="52" spans="2:18" s="1" customFormat="1" ht="19.899999999999999" customHeight="1" x14ac:dyDescent="0.2">
      <c r="B52" s="66"/>
      <c r="C52" s="442"/>
      <c r="D52" s="71"/>
      <c r="E52" s="71"/>
      <c r="F52" s="75"/>
      <c r="G52" s="255" t="s">
        <v>2353</v>
      </c>
      <c r="H52" s="455">
        <v>0</v>
      </c>
      <c r="I52" s="260" t="s">
        <v>2349</v>
      </c>
      <c r="J52" s="238" t="s">
        <v>2756</v>
      </c>
      <c r="K52" s="277"/>
      <c r="L52" s="274"/>
      <c r="M52" s="274"/>
      <c r="N52" s="274"/>
      <c r="O52" s="275"/>
      <c r="P52" s="276"/>
      <c r="Q52" s="276"/>
      <c r="R52" s="92"/>
    </row>
    <row r="53" spans="2:18" s="1" customFormat="1" ht="19.899999999999999" customHeight="1" x14ac:dyDescent="0.2">
      <c r="B53" s="66"/>
      <c r="C53" s="442"/>
      <c r="D53" s="71"/>
      <c r="E53" s="71"/>
      <c r="F53" s="75"/>
      <c r="G53" s="257" t="s">
        <v>2354</v>
      </c>
      <c r="H53" s="454">
        <v>0</v>
      </c>
      <c r="I53" s="258" t="s">
        <v>2349</v>
      </c>
      <c r="P53" s="68"/>
      <c r="Q53" s="68"/>
      <c r="R53" s="92"/>
    </row>
    <row r="54" spans="2:18" s="1" customFormat="1" ht="19.899999999999999" customHeight="1" x14ac:dyDescent="0.25">
      <c r="B54" s="66"/>
      <c r="C54" s="442"/>
      <c r="D54" s="71"/>
      <c r="E54" s="71"/>
      <c r="F54" s="75"/>
      <c r="G54" s="255" t="s">
        <v>2643</v>
      </c>
      <c r="H54" s="259" t="s">
        <v>2349</v>
      </c>
      <c r="I54" s="260" t="s">
        <v>2349</v>
      </c>
      <c r="J54" s="109" t="s">
        <v>2757</v>
      </c>
      <c r="P54" s="68"/>
      <c r="Q54" s="68"/>
      <c r="R54" s="92"/>
    </row>
    <row r="55" spans="2:18" s="1" customFormat="1" ht="19.899999999999999" customHeight="1" x14ac:dyDescent="0.2">
      <c r="B55" s="66"/>
      <c r="C55" s="442"/>
      <c r="D55" s="71"/>
      <c r="E55" s="71"/>
      <c r="F55" s="75"/>
      <c r="G55" s="261" t="s">
        <v>2644</v>
      </c>
      <c r="H55" s="453" t="s">
        <v>2349</v>
      </c>
      <c r="I55" s="262" t="s">
        <v>2349</v>
      </c>
      <c r="J55" s="795" t="s">
        <v>2758</v>
      </c>
      <c r="P55" s="68"/>
      <c r="Q55" s="68"/>
      <c r="R55" s="92"/>
    </row>
    <row r="56" spans="2:18" s="1" customFormat="1" ht="18.75" customHeight="1" x14ac:dyDescent="0.2">
      <c r="B56" s="66"/>
      <c r="C56" s="442"/>
      <c r="D56" s="70"/>
      <c r="E56" s="70"/>
      <c r="F56" s="68"/>
      <c r="G56" s="223" t="s">
        <v>2357</v>
      </c>
      <c r="H56" s="224">
        <f>SUM(H48:H53)</f>
        <v>984598.10000000009</v>
      </c>
      <c r="I56" s="263">
        <f>SUM(I48:I53)</f>
        <v>21453.331740293608</v>
      </c>
      <c r="K56" s="120"/>
      <c r="P56" s="68"/>
      <c r="Q56" s="68"/>
      <c r="R56" s="92"/>
    </row>
    <row r="57" spans="2:18" s="1" customFormat="1" x14ac:dyDescent="0.2">
      <c r="B57" s="66"/>
      <c r="C57" s="442"/>
      <c r="D57" s="70"/>
      <c r="E57" s="70"/>
      <c r="F57" s="68"/>
      <c r="G57" s="81"/>
      <c r="H57" s="82"/>
      <c r="I57" s="82"/>
      <c r="J57" s="120"/>
      <c r="L57" s="278"/>
      <c r="M57" s="278"/>
      <c r="N57" s="278"/>
      <c r="O57" s="278"/>
      <c r="P57" s="68"/>
      <c r="Q57" s="68"/>
      <c r="R57" s="92"/>
    </row>
    <row r="58" spans="2:18" s="1" customFormat="1" x14ac:dyDescent="0.2">
      <c r="B58" s="66"/>
      <c r="C58" s="442"/>
      <c r="D58" s="70"/>
      <c r="E58" s="70"/>
      <c r="F58" s="68"/>
      <c r="G58" s="81"/>
      <c r="H58" s="82"/>
      <c r="I58" s="82"/>
      <c r="P58" s="68"/>
      <c r="Q58" s="68"/>
      <c r="R58" s="92"/>
    </row>
    <row r="59" spans="2:18" s="1" customFormat="1" ht="15" x14ac:dyDescent="0.25">
      <c r="B59" s="66"/>
      <c r="C59" s="442"/>
      <c r="D59" s="70"/>
      <c r="E59" s="70"/>
      <c r="F59" s="68"/>
      <c r="G59" s="81"/>
      <c r="H59" s="82"/>
      <c r="I59" s="82"/>
      <c r="J59" s="109"/>
      <c r="K59" s="279"/>
      <c r="P59" s="68"/>
      <c r="Q59" s="68"/>
      <c r="R59" s="92"/>
    </row>
    <row r="60" spans="2:18" s="1" customFormat="1" ht="15" x14ac:dyDescent="0.25">
      <c r="B60" s="264"/>
      <c r="C60" s="265"/>
      <c r="D60" s="265"/>
      <c r="E60" s="265"/>
      <c r="F60" s="266"/>
      <c r="G60" s="267"/>
      <c r="H60" s="268"/>
      <c r="I60" s="269"/>
      <c r="P60" s="68"/>
      <c r="Q60" s="68"/>
      <c r="R60" s="92"/>
    </row>
    <row r="61" spans="2:18" s="1" customFormat="1" ht="9" customHeight="1" x14ac:dyDescent="0.2">
      <c r="B61" s="66"/>
      <c r="C61" s="442"/>
      <c r="D61" s="266"/>
      <c r="E61" s="266"/>
      <c r="F61" s="266"/>
      <c r="G61" s="81"/>
      <c r="H61" s="82"/>
      <c r="I61" s="82"/>
      <c r="P61" s="68"/>
      <c r="Q61" s="68"/>
      <c r="R61" s="92"/>
    </row>
    <row r="62" spans="2:18" s="1" customFormat="1" x14ac:dyDescent="0.2">
      <c r="B62" s="83"/>
      <c r="C62" s="446"/>
      <c r="D62" s="84"/>
      <c r="E62" s="84"/>
      <c r="F62" s="270"/>
      <c r="G62" s="85"/>
      <c r="H62" s="86"/>
      <c r="I62" s="86"/>
      <c r="J62" s="113"/>
      <c r="R62" s="281"/>
    </row>
    <row r="63" spans="2:18" s="1" customFormat="1" ht="5.25" customHeight="1" x14ac:dyDescent="0.2">
      <c r="B63" s="87"/>
      <c r="C63" s="447"/>
      <c r="D63" s="88"/>
      <c r="E63" s="88"/>
      <c r="F63" s="89"/>
      <c r="G63" s="90"/>
      <c r="H63" s="91"/>
      <c r="I63" s="91"/>
      <c r="J63" s="115"/>
      <c r="K63" s="116"/>
      <c r="L63" s="116"/>
      <c r="M63" s="116"/>
      <c r="N63" s="116"/>
      <c r="O63" s="116"/>
      <c r="P63" s="116"/>
      <c r="Q63" s="116"/>
      <c r="R63" s="124"/>
    </row>
    <row r="64" spans="2:18" s="1" customFormat="1" ht="15" x14ac:dyDescent="0.25">
      <c r="B64" s="424"/>
      <c r="C64" s="424"/>
      <c r="D64"/>
      <c r="E64"/>
      <c r="F64" s="373"/>
      <c r="G64" s="373"/>
      <c r="H64"/>
      <c r="I64"/>
      <c r="J64"/>
      <c r="K64"/>
      <c r="L64" s="120"/>
      <c r="M64" s="120"/>
      <c r="N64" s="120"/>
      <c r="O64" s="120"/>
      <c r="R64" s="122"/>
    </row>
    <row r="65" spans="2:18" s="1" customFormat="1" ht="15" x14ac:dyDescent="0.25">
      <c r="B65" s="419"/>
      <c r="C65" s="419"/>
      <c r="D65"/>
      <c r="E65"/>
      <c r="F65" s="374"/>
      <c r="G65"/>
      <c r="H65"/>
      <c r="I65"/>
      <c r="J65"/>
      <c r="K65"/>
      <c r="L65" s="120"/>
      <c r="M65" s="120"/>
      <c r="N65" s="120"/>
      <c r="O65" s="120"/>
      <c r="R65" s="122"/>
    </row>
    <row r="66" spans="2:18" s="1" customFormat="1" ht="15" x14ac:dyDescent="0.25">
      <c r="B66" s="425" t="s">
        <v>2361</v>
      </c>
      <c r="C66" s="425"/>
      <c r="D66"/>
      <c r="E66"/>
      <c r="F66" s="665" t="s">
        <v>2362</v>
      </c>
      <c r="G66"/>
      <c r="H66"/>
      <c r="I66"/>
      <c r="J66"/>
      <c r="K66"/>
      <c r="L66"/>
      <c r="M66" s="324"/>
      <c r="N66" s="511"/>
      <c r="O66" s="509"/>
      <c r="P66" s="114"/>
      <c r="R66" s="68"/>
    </row>
    <row r="67" spans="2:18" s="8" customFormat="1" ht="15" x14ac:dyDescent="0.25">
      <c r="B67" s="671" t="s">
        <v>4880</v>
      </c>
      <c r="C67" s="419"/>
      <c r="D67"/>
      <c r="E67" s="376"/>
      <c r="F67" s="426" t="s">
        <v>4878</v>
      </c>
      <c r="G67"/>
      <c r="H67" s="664" t="s">
        <v>2363</v>
      </c>
      <c r="I67" s="321"/>
      <c r="J67" s="667" t="s">
        <v>5841</v>
      </c>
      <c r="K67" s="667"/>
      <c r="L67" s="669" t="s">
        <v>4871</v>
      </c>
      <c r="M67" s="666"/>
      <c r="N67" s="511"/>
      <c r="O67" s="509"/>
      <c r="P67" s="676"/>
      <c r="Q67" s="676"/>
      <c r="R67" s="636"/>
    </row>
    <row r="68" spans="2:18" s="1" customFormat="1" ht="15" x14ac:dyDescent="0.25">
      <c r="B68" s="419" t="s">
        <v>4881</v>
      </c>
      <c r="C68" s="419"/>
      <c r="D68"/>
      <c r="E68" s="377"/>
      <c r="F68" s="700" t="s">
        <v>4879</v>
      </c>
      <c r="G68"/>
      <c r="H68" s="971" t="s">
        <v>2364</v>
      </c>
      <c r="I68" s="971"/>
      <c r="J68" s="702" t="s">
        <v>2645</v>
      </c>
      <c r="K68" s="668"/>
      <c r="L68" s="703" t="s">
        <v>4872</v>
      </c>
      <c r="M68" s="657"/>
      <c r="N68" s="511"/>
      <c r="O68" s="509"/>
      <c r="P68" s="657"/>
      <c r="Q68" s="657"/>
      <c r="R68" s="657"/>
    </row>
    <row r="69" spans="2:18" s="1" customFormat="1" ht="15" x14ac:dyDescent="0.25">
      <c r="B69" s="423" t="s">
        <v>6387</v>
      </c>
      <c r="C69" s="423"/>
      <c r="D69" s="378"/>
      <c r="E69"/>
      <c r="F69"/>
      <c r="G69"/>
      <c r="H69" s="379"/>
      <c r="I69" s="379"/>
      <c r="J69" s="379"/>
      <c r="K69"/>
      <c r="L69"/>
      <c r="M69" s="324"/>
      <c r="N69" s="511"/>
      <c r="O69" s="509"/>
      <c r="P69" s="119"/>
      <c r="Q69" s="119"/>
      <c r="R69" s="125"/>
    </row>
    <row r="70" spans="2:18" ht="15" x14ac:dyDescent="0.25">
      <c r="B70" s="419"/>
      <c r="C70" s="419"/>
      <c r="D70"/>
      <c r="E70"/>
      <c r="F70"/>
      <c r="G70"/>
      <c r="H70"/>
      <c r="I70"/>
      <c r="J70"/>
      <c r="K70"/>
      <c r="L70"/>
      <c r="M70" s="324"/>
      <c r="N70" s="511"/>
      <c r="O70" s="509"/>
    </row>
    <row r="71" spans="2:18" ht="15" x14ac:dyDescent="0.25">
      <c r="B71" s="419"/>
      <c r="C71" s="419"/>
      <c r="D71"/>
      <c r="E71"/>
      <c r="F71"/>
      <c r="G71"/>
      <c r="H71"/>
      <c r="I71"/>
      <c r="J71"/>
      <c r="K71"/>
      <c r="L71"/>
      <c r="M71" s="324"/>
      <c r="N71" s="511"/>
      <c r="O71" s="509"/>
    </row>
    <row r="73" spans="2:18" ht="15" x14ac:dyDescent="0.25">
      <c r="G73" s="3" t="s">
        <v>7089</v>
      </c>
      <c r="H73" s="94"/>
      <c r="I73" s="95"/>
    </row>
    <row r="77" spans="2:18" x14ac:dyDescent="0.2">
      <c r="F77" s="96"/>
    </row>
    <row r="80" spans="2:18" ht="15" x14ac:dyDescent="0.25">
      <c r="I80" s="95"/>
    </row>
    <row r="81" spans="9:9" ht="15" x14ac:dyDescent="0.25">
      <c r="I81" s="95"/>
    </row>
  </sheetData>
  <mergeCells count="3">
    <mergeCell ref="H68:I68"/>
    <mergeCell ref="E41:H41"/>
    <mergeCell ref="G46:I46"/>
  </mergeCells>
  <printOptions horizontalCentered="1" verticalCentered="1"/>
  <pageMargins left="0.31496062992125984" right="0.23622047244094491" top="0.27559055118110237" bottom="0.55118110236220474" header="0.23622047244094491" footer="0.35433070866141736"/>
  <pageSetup scale="55" orientation="landscape" r:id="rId1"/>
  <headerFooter alignWithMargins="0">
    <oddHeader xml:space="preserve">&amp;R
</oddHeader>
    <oddFooter xml:space="preserve">&amp;C&amp;"Arial,Negrita"Pág. &amp;P - 5
</oddFooter>
  </headerFooter>
  <rowBreaks count="3" manualBreakCount="3">
    <brk id="15" min="1" max="15" man="1"/>
    <brk id="25" min="1" max="15" man="1"/>
    <brk id="36" min="1" max="15" man="1"/>
  </rowBreaks>
  <ignoredErrors>
    <ignoredError sqref="P41:Q41 J41 L7:L4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3"/>
  </sheetPr>
  <dimension ref="A2:AV85"/>
  <sheetViews>
    <sheetView tabSelected="1" zoomScale="110" zoomScaleNormal="110" workbookViewId="0">
      <pane xSplit="4" topLeftCell="E1" activePane="topRight" state="frozenSplit"/>
      <selection pane="topRight" activeCell="G7" sqref="G7"/>
    </sheetView>
  </sheetViews>
  <sheetFormatPr baseColWidth="10" defaultColWidth="9.140625" defaultRowHeight="15" x14ac:dyDescent="0.25"/>
  <cols>
    <col min="1" max="1" width="1.28515625" customWidth="1"/>
    <col min="2" max="3" width="9.7109375" style="130" customWidth="1"/>
    <col min="4" max="4" width="8.28515625" style="130" customWidth="1"/>
    <col min="5" max="5" width="11.140625" style="130" customWidth="1"/>
    <col min="6" max="6" width="21.140625" customWidth="1"/>
    <col min="7" max="7" width="17.42578125" style="126" customWidth="1"/>
    <col min="8" max="8" width="30.42578125" style="130" customWidth="1"/>
    <col min="9" max="9" width="29.42578125" style="130" customWidth="1"/>
    <col min="10" max="10" width="17.5703125" customWidth="1"/>
    <col min="11" max="11" width="6.28515625" customWidth="1"/>
    <col min="12" max="12" width="15.85546875" customWidth="1"/>
    <col min="13" max="13" width="6.28515625" customWidth="1"/>
    <col min="14" max="14" width="9.28515625" customWidth="1"/>
    <col min="15" max="15" width="8" hidden="1" customWidth="1"/>
    <col min="16" max="16" width="13.7109375" hidden="1" customWidth="1"/>
    <col min="17" max="17" width="16" customWidth="1"/>
    <col min="18" max="18" width="15" customWidth="1"/>
  </cols>
  <sheetData>
    <row r="2" spans="2:21" s="120" customFormat="1" ht="25.15" customHeight="1" x14ac:dyDescent="0.3">
      <c r="B2" s="131"/>
      <c r="C2" s="131"/>
      <c r="D2" s="132"/>
      <c r="E2" s="12" t="s">
        <v>2646</v>
      </c>
      <c r="F2" s="133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</row>
    <row r="3" spans="2:21" s="120" customFormat="1" ht="22.15" customHeight="1" x14ac:dyDescent="0.3">
      <c r="B3" s="131"/>
      <c r="C3" s="131"/>
      <c r="D3" s="132"/>
      <c r="E3" s="14" t="s">
        <v>2759</v>
      </c>
      <c r="F3" s="135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</row>
    <row r="4" spans="2:21" s="120" customFormat="1" ht="22.15" customHeight="1" x14ac:dyDescent="0.25">
      <c r="B4" s="131"/>
      <c r="C4" s="131"/>
      <c r="D4" s="137"/>
      <c r="E4" s="18" t="s">
        <v>7095</v>
      </c>
      <c r="F4" s="135"/>
      <c r="G4" s="138"/>
      <c r="H4" s="138"/>
      <c r="I4" s="138"/>
      <c r="J4" s="18"/>
      <c r="K4" s="168"/>
      <c r="L4" s="168"/>
      <c r="M4" s="168"/>
      <c r="N4" s="168"/>
      <c r="O4" s="168"/>
      <c r="P4" s="168"/>
      <c r="Q4" s="168"/>
      <c r="R4" s="168"/>
    </row>
    <row r="5" spans="2:21" s="120" customFormat="1" ht="10.15" customHeight="1" x14ac:dyDescent="0.2">
      <c r="B5" s="131"/>
      <c r="C5" s="131"/>
      <c r="D5" s="139"/>
      <c r="E5" s="139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</row>
    <row r="6" spans="2:21" s="126" customFormat="1" ht="53.25" customHeight="1" x14ac:dyDescent="0.2">
      <c r="B6" s="443" t="s">
        <v>4318</v>
      </c>
      <c r="C6" s="443" t="s">
        <v>4319</v>
      </c>
      <c r="D6" s="23" t="s">
        <v>2367</v>
      </c>
      <c r="E6" s="23" t="s">
        <v>4</v>
      </c>
      <c r="F6" s="23" t="s">
        <v>5</v>
      </c>
      <c r="G6" s="23" t="s">
        <v>6</v>
      </c>
      <c r="H6" s="23" t="s">
        <v>2368</v>
      </c>
      <c r="I6" s="141" t="s">
        <v>8</v>
      </c>
      <c r="J6" s="23" t="s">
        <v>9</v>
      </c>
      <c r="K6" s="23" t="s">
        <v>10</v>
      </c>
      <c r="L6" s="30" t="s">
        <v>2370</v>
      </c>
      <c r="M6" s="23" t="s">
        <v>12</v>
      </c>
      <c r="N6" s="31" t="s">
        <v>2371</v>
      </c>
      <c r="O6" s="30" t="s">
        <v>14</v>
      </c>
      <c r="P6" s="23" t="s">
        <v>15</v>
      </c>
      <c r="Q6" s="23" t="s">
        <v>15</v>
      </c>
      <c r="R6" s="23" t="s">
        <v>16</v>
      </c>
      <c r="U6" s="126" t="s">
        <v>4366</v>
      </c>
    </row>
    <row r="7" spans="2:21" s="120" customFormat="1" ht="40.15" customHeight="1" x14ac:dyDescent="0.2">
      <c r="B7" s="142">
        <v>37169</v>
      </c>
      <c r="C7" s="142" t="s">
        <v>2349</v>
      </c>
      <c r="D7" s="143">
        <v>34</v>
      </c>
      <c r="E7" s="144" t="s">
        <v>2760</v>
      </c>
      <c r="F7" s="145" t="s">
        <v>2761</v>
      </c>
      <c r="G7" s="143" t="s">
        <v>2762</v>
      </c>
      <c r="H7" s="143" t="s">
        <v>764</v>
      </c>
      <c r="I7" s="143" t="s">
        <v>19</v>
      </c>
      <c r="J7" s="169">
        <v>7735</v>
      </c>
      <c r="K7" s="170">
        <v>16.96</v>
      </c>
      <c r="L7" s="171">
        <f t="shared" ref="L7:L17" si="0">+J7/K7</f>
        <v>456.07311320754712</v>
      </c>
      <c r="M7" s="143">
        <v>60</v>
      </c>
      <c r="N7" s="172">
        <f t="shared" ref="N7:N17" si="1">IF(AND(J7&lt;&gt;0,M7&lt;&gt;0),J7/M7,0)</f>
        <v>128.91666666666666</v>
      </c>
      <c r="O7" s="173">
        <f t="shared" ref="O7:O17" ca="1" si="2">IF(B7&lt;&gt;0,(ROUND((NOW()-B7)/30,0)),0)</f>
        <v>289</v>
      </c>
      <c r="P7" s="174">
        <f ca="1">IF(OR(J7=0,M7=0,O7=0),0,J7-(N7*O7))</f>
        <v>-29521.916666666664</v>
      </c>
      <c r="Q7" s="175">
        <f ca="1">IF(P7&lt;1,1,P7)</f>
        <v>1</v>
      </c>
      <c r="R7" s="143" t="s">
        <v>2349</v>
      </c>
    </row>
    <row r="8" spans="2:21" s="120" customFormat="1" ht="40.15" customHeight="1" x14ac:dyDescent="0.2">
      <c r="B8" s="142">
        <v>37146</v>
      </c>
      <c r="C8" s="142" t="s">
        <v>2349</v>
      </c>
      <c r="D8" s="143">
        <v>44</v>
      </c>
      <c r="E8" s="144" t="s">
        <v>2763</v>
      </c>
      <c r="F8" s="145" t="s">
        <v>2764</v>
      </c>
      <c r="G8" s="143" t="s">
        <v>28</v>
      </c>
      <c r="H8" s="143" t="s">
        <v>1155</v>
      </c>
      <c r="I8" s="143" t="s">
        <v>19</v>
      </c>
      <c r="J8" s="169">
        <v>5400</v>
      </c>
      <c r="K8" s="170">
        <v>16.96</v>
      </c>
      <c r="L8" s="171">
        <f t="shared" si="0"/>
        <v>318.3962264150943</v>
      </c>
      <c r="M8" s="143">
        <v>60</v>
      </c>
      <c r="N8" s="172">
        <f t="shared" si="1"/>
        <v>90</v>
      </c>
      <c r="O8" s="173">
        <f t="shared" ca="1" si="2"/>
        <v>290</v>
      </c>
      <c r="P8" s="174">
        <f t="shared" ref="P8:P25" ca="1" si="3">IF(OR(J8=0,M8=0,O8=0),0,J8-(N8*O8))</f>
        <v>-20700</v>
      </c>
      <c r="Q8" s="175">
        <f t="shared" ref="Q8:Q38" ca="1" si="4">IF(P8&lt;1,1,P8)</f>
        <v>1</v>
      </c>
      <c r="R8" s="143" t="s">
        <v>2349</v>
      </c>
    </row>
    <row r="9" spans="2:21" s="120" customFormat="1" ht="40.15" customHeight="1" x14ac:dyDescent="0.2">
      <c r="B9" s="142">
        <v>37396</v>
      </c>
      <c r="C9" s="142" t="s">
        <v>2349</v>
      </c>
      <c r="D9" s="143">
        <v>185</v>
      </c>
      <c r="E9" s="144" t="s">
        <v>2765</v>
      </c>
      <c r="F9" s="145" t="s">
        <v>2766</v>
      </c>
      <c r="G9" s="143" t="s">
        <v>28</v>
      </c>
      <c r="H9" s="143" t="s">
        <v>843</v>
      </c>
      <c r="I9" s="143" t="s">
        <v>19</v>
      </c>
      <c r="J9" s="169">
        <v>1175.72</v>
      </c>
      <c r="K9" s="170">
        <v>20.71</v>
      </c>
      <c r="L9" s="171">
        <f t="shared" si="0"/>
        <v>56.77064220183486</v>
      </c>
      <c r="M9" s="143">
        <v>60</v>
      </c>
      <c r="N9" s="172">
        <f t="shared" si="1"/>
        <v>19.595333333333333</v>
      </c>
      <c r="O9" s="173">
        <f t="shared" ca="1" si="2"/>
        <v>282</v>
      </c>
      <c r="P9" s="174">
        <f t="shared" ca="1" si="3"/>
        <v>-4350.1639999999998</v>
      </c>
      <c r="Q9" s="175">
        <f t="shared" ca="1" si="4"/>
        <v>1</v>
      </c>
      <c r="R9" s="143" t="s">
        <v>2349</v>
      </c>
    </row>
    <row r="10" spans="2:21" s="120" customFormat="1" ht="51" customHeight="1" x14ac:dyDescent="0.2">
      <c r="B10" s="142">
        <v>37481</v>
      </c>
      <c r="C10" s="142" t="s">
        <v>2349</v>
      </c>
      <c r="D10" s="143">
        <v>294</v>
      </c>
      <c r="E10" s="144" t="s">
        <v>2768</v>
      </c>
      <c r="F10" s="145" t="s">
        <v>2769</v>
      </c>
      <c r="G10" s="143" t="s">
        <v>2770</v>
      </c>
      <c r="H10" s="143" t="s">
        <v>77</v>
      </c>
      <c r="I10" s="143" t="s">
        <v>19</v>
      </c>
      <c r="J10" s="169">
        <v>66323.679999999993</v>
      </c>
      <c r="K10" s="170">
        <v>20.71</v>
      </c>
      <c r="L10" s="171">
        <f t="shared" si="0"/>
        <v>3202.4954128440363</v>
      </c>
      <c r="M10" s="143">
        <v>60</v>
      </c>
      <c r="N10" s="172">
        <f t="shared" si="1"/>
        <v>1105.3946666666666</v>
      </c>
      <c r="O10" s="173">
        <f t="shared" ca="1" si="2"/>
        <v>279</v>
      </c>
      <c r="P10" s="174">
        <f t="shared" ca="1" si="3"/>
        <v>-242081.43199999997</v>
      </c>
      <c r="Q10" s="175">
        <f t="shared" ca="1" si="4"/>
        <v>1</v>
      </c>
      <c r="R10" s="143" t="s">
        <v>2349</v>
      </c>
    </row>
    <row r="11" spans="2:21" s="120" customFormat="1" ht="40.15" customHeight="1" x14ac:dyDescent="0.2">
      <c r="B11" s="146">
        <v>37489</v>
      </c>
      <c r="C11" s="142" t="s">
        <v>2349</v>
      </c>
      <c r="D11" s="147">
        <v>295</v>
      </c>
      <c r="E11" s="148" t="s">
        <v>2771</v>
      </c>
      <c r="F11" s="149" t="s">
        <v>2772</v>
      </c>
      <c r="G11" s="147" t="s">
        <v>28</v>
      </c>
      <c r="H11" s="147" t="s">
        <v>764</v>
      </c>
      <c r="I11" s="147" t="s">
        <v>19</v>
      </c>
      <c r="J11" s="176">
        <v>6666.66</v>
      </c>
      <c r="K11" s="177">
        <v>20.71</v>
      </c>
      <c r="L11" s="178">
        <f t="shared" si="0"/>
        <v>321.90535972959918</v>
      </c>
      <c r="M11" s="147">
        <v>60</v>
      </c>
      <c r="N11" s="179">
        <f t="shared" si="1"/>
        <v>111.111</v>
      </c>
      <c r="O11" s="180">
        <f t="shared" ca="1" si="2"/>
        <v>279</v>
      </c>
      <c r="P11" s="174">
        <f t="shared" ca="1" si="3"/>
        <v>-24333.309000000001</v>
      </c>
      <c r="Q11" s="175">
        <f t="shared" ca="1" si="4"/>
        <v>1</v>
      </c>
      <c r="R11" s="147" t="s">
        <v>2349</v>
      </c>
    </row>
    <row r="12" spans="2:21" s="120" customFormat="1" ht="40.15" customHeight="1" x14ac:dyDescent="0.2">
      <c r="B12" s="142">
        <v>37489</v>
      </c>
      <c r="C12" s="142" t="s">
        <v>2349</v>
      </c>
      <c r="D12" s="143">
        <v>295</v>
      </c>
      <c r="E12" s="144" t="s">
        <v>2773</v>
      </c>
      <c r="F12" s="145" t="s">
        <v>2772</v>
      </c>
      <c r="G12" s="143" t="s">
        <v>28</v>
      </c>
      <c r="H12" s="143" t="s">
        <v>34</v>
      </c>
      <c r="I12" s="143" t="s">
        <v>19</v>
      </c>
      <c r="J12" s="169">
        <v>6666.66</v>
      </c>
      <c r="K12" s="170">
        <v>20.71</v>
      </c>
      <c r="L12" s="171">
        <f t="shared" si="0"/>
        <v>321.90535972959918</v>
      </c>
      <c r="M12" s="143">
        <v>60</v>
      </c>
      <c r="N12" s="172">
        <f t="shared" si="1"/>
        <v>111.111</v>
      </c>
      <c r="O12" s="173">
        <f t="shared" ca="1" si="2"/>
        <v>279</v>
      </c>
      <c r="P12" s="174">
        <f t="shared" ca="1" si="3"/>
        <v>-24333.309000000001</v>
      </c>
      <c r="Q12" s="175">
        <f t="shared" ca="1" si="4"/>
        <v>1</v>
      </c>
      <c r="R12" s="143" t="s">
        <v>2349</v>
      </c>
    </row>
    <row r="13" spans="2:21" s="120" customFormat="1" ht="40.15" customHeight="1" x14ac:dyDescent="0.2">
      <c r="B13" s="142">
        <v>37489</v>
      </c>
      <c r="C13" s="142" t="s">
        <v>2349</v>
      </c>
      <c r="D13" s="143">
        <v>295</v>
      </c>
      <c r="E13" s="144" t="s">
        <v>2774</v>
      </c>
      <c r="F13" s="145" t="s">
        <v>2775</v>
      </c>
      <c r="G13" s="143" t="s">
        <v>28</v>
      </c>
      <c r="H13" s="143" t="s">
        <v>34</v>
      </c>
      <c r="I13" s="143" t="s">
        <v>19</v>
      </c>
      <c r="J13" s="169">
        <v>6666.66</v>
      </c>
      <c r="K13" s="170">
        <v>20.71</v>
      </c>
      <c r="L13" s="171">
        <f t="shared" si="0"/>
        <v>321.90535972959918</v>
      </c>
      <c r="M13" s="143">
        <v>60</v>
      </c>
      <c r="N13" s="172">
        <f t="shared" si="1"/>
        <v>111.111</v>
      </c>
      <c r="O13" s="173">
        <f t="shared" ca="1" si="2"/>
        <v>279</v>
      </c>
      <c r="P13" s="174">
        <f t="shared" ca="1" si="3"/>
        <v>-24333.309000000001</v>
      </c>
      <c r="Q13" s="175">
        <f t="shared" ca="1" si="4"/>
        <v>1</v>
      </c>
      <c r="R13" s="143" t="s">
        <v>2349</v>
      </c>
    </row>
    <row r="14" spans="2:21" s="120" customFormat="1" ht="40.15" customHeight="1" x14ac:dyDescent="0.2">
      <c r="B14" s="142">
        <v>37489</v>
      </c>
      <c r="C14" s="142" t="s">
        <v>2349</v>
      </c>
      <c r="D14" s="143">
        <v>295</v>
      </c>
      <c r="E14" s="144" t="s">
        <v>2776</v>
      </c>
      <c r="F14" s="145" t="s">
        <v>2777</v>
      </c>
      <c r="G14" s="143" t="s">
        <v>28</v>
      </c>
      <c r="H14" s="143" t="s">
        <v>764</v>
      </c>
      <c r="I14" s="143" t="s">
        <v>19</v>
      </c>
      <c r="J14" s="169">
        <v>2500</v>
      </c>
      <c r="K14" s="170">
        <v>20.71</v>
      </c>
      <c r="L14" s="171">
        <f t="shared" si="0"/>
        <v>120.71463061323031</v>
      </c>
      <c r="M14" s="143">
        <v>60</v>
      </c>
      <c r="N14" s="172">
        <f t="shared" si="1"/>
        <v>41.666666666666664</v>
      </c>
      <c r="O14" s="173">
        <f t="shared" ca="1" si="2"/>
        <v>279</v>
      </c>
      <c r="P14" s="174">
        <f t="shared" ca="1" si="3"/>
        <v>-9125</v>
      </c>
      <c r="Q14" s="175">
        <f t="shared" ca="1" si="4"/>
        <v>1</v>
      </c>
      <c r="R14" s="143" t="s">
        <v>2349</v>
      </c>
    </row>
    <row r="15" spans="2:21" s="120" customFormat="1" ht="40.15" customHeight="1" x14ac:dyDescent="0.2">
      <c r="B15" s="142">
        <v>37565</v>
      </c>
      <c r="C15" s="142" t="s">
        <v>2349</v>
      </c>
      <c r="D15" s="143">
        <v>378</v>
      </c>
      <c r="E15" s="144" t="s">
        <v>2778</v>
      </c>
      <c r="F15" s="145" t="s">
        <v>2779</v>
      </c>
      <c r="G15" s="143" t="s">
        <v>2780</v>
      </c>
      <c r="H15" s="143" t="s">
        <v>2781</v>
      </c>
      <c r="I15" s="143" t="s">
        <v>19</v>
      </c>
      <c r="J15" s="169">
        <v>1963.39</v>
      </c>
      <c r="K15" s="170">
        <v>20.71</v>
      </c>
      <c r="L15" s="171">
        <f t="shared" si="0"/>
        <v>94.80395943988411</v>
      </c>
      <c r="M15" s="143">
        <v>60</v>
      </c>
      <c r="N15" s="172">
        <f t="shared" si="1"/>
        <v>32.723166666666671</v>
      </c>
      <c r="O15" s="173">
        <f t="shared" ca="1" si="2"/>
        <v>276</v>
      </c>
      <c r="P15" s="174">
        <f t="shared" ca="1" si="3"/>
        <v>-7068.2040000000006</v>
      </c>
      <c r="Q15" s="175">
        <f t="shared" ca="1" si="4"/>
        <v>1</v>
      </c>
      <c r="R15" s="143" t="s">
        <v>2349</v>
      </c>
    </row>
    <row r="16" spans="2:21" s="120" customFormat="1" ht="40.15" customHeight="1" x14ac:dyDescent="0.2">
      <c r="B16" s="142">
        <v>37599</v>
      </c>
      <c r="C16" s="142" t="s">
        <v>2349</v>
      </c>
      <c r="D16" s="143">
        <v>413</v>
      </c>
      <c r="E16" s="144" t="s">
        <v>2782</v>
      </c>
      <c r="F16" s="149" t="s">
        <v>2783</v>
      </c>
      <c r="G16" s="143" t="s">
        <v>28</v>
      </c>
      <c r="H16" s="143" t="s">
        <v>764</v>
      </c>
      <c r="I16" s="143" t="s">
        <v>19</v>
      </c>
      <c r="J16" s="169">
        <v>21000</v>
      </c>
      <c r="K16" s="170">
        <v>20.71</v>
      </c>
      <c r="L16" s="171">
        <f t="shared" si="0"/>
        <v>1014.0028971511347</v>
      </c>
      <c r="M16" s="143">
        <v>60</v>
      </c>
      <c r="N16" s="172">
        <f t="shared" si="1"/>
        <v>350</v>
      </c>
      <c r="O16" s="173">
        <f t="shared" ca="1" si="2"/>
        <v>275</v>
      </c>
      <c r="P16" s="174">
        <f t="shared" ca="1" si="3"/>
        <v>-75250</v>
      </c>
      <c r="Q16" s="175">
        <f t="shared" ca="1" si="4"/>
        <v>1</v>
      </c>
      <c r="R16" s="143" t="s">
        <v>2349</v>
      </c>
    </row>
    <row r="17" spans="1:18" s="120" customFormat="1" ht="40.15" customHeight="1" x14ac:dyDescent="0.2">
      <c r="B17" s="142">
        <v>37601</v>
      </c>
      <c r="C17" s="142" t="s">
        <v>2349</v>
      </c>
      <c r="D17" s="143">
        <v>439</v>
      </c>
      <c r="E17" s="144" t="s">
        <v>2784</v>
      </c>
      <c r="F17" s="149" t="s">
        <v>2785</v>
      </c>
      <c r="G17" s="143" t="s">
        <v>28</v>
      </c>
      <c r="H17" s="143" t="s">
        <v>2767</v>
      </c>
      <c r="I17" s="143" t="s">
        <v>19</v>
      </c>
      <c r="J17" s="169">
        <v>2184</v>
      </c>
      <c r="K17" s="170">
        <v>20.71</v>
      </c>
      <c r="L17" s="171">
        <f t="shared" si="0"/>
        <v>105.45630130371801</v>
      </c>
      <c r="M17" s="143">
        <v>60</v>
      </c>
      <c r="N17" s="172">
        <f t="shared" si="1"/>
        <v>36.4</v>
      </c>
      <c r="O17" s="173">
        <f t="shared" ca="1" si="2"/>
        <v>275</v>
      </c>
      <c r="P17" s="174">
        <f t="shared" ca="1" si="3"/>
        <v>-7826</v>
      </c>
      <c r="Q17" s="175">
        <f t="shared" ca="1" si="4"/>
        <v>1</v>
      </c>
      <c r="R17" s="143" t="s">
        <v>2349</v>
      </c>
    </row>
    <row r="18" spans="1:18" s="120" customFormat="1" ht="51.75" customHeight="1" x14ac:dyDescent="0.2">
      <c r="B18" s="146">
        <v>38495</v>
      </c>
      <c r="C18" s="146" t="s">
        <v>2349</v>
      </c>
      <c r="D18" s="147">
        <v>1787577</v>
      </c>
      <c r="E18" s="148" t="s">
        <v>2786</v>
      </c>
      <c r="F18" s="149" t="s">
        <v>2787</v>
      </c>
      <c r="G18" s="147" t="s">
        <v>2788</v>
      </c>
      <c r="H18" s="147" t="s">
        <v>2789</v>
      </c>
      <c r="I18" s="147" t="s">
        <v>2790</v>
      </c>
      <c r="J18" s="176">
        <v>666072</v>
      </c>
      <c r="K18" s="177">
        <v>34.380000000000003</v>
      </c>
      <c r="L18" s="178">
        <f t="shared" ref="L18:L25" si="5">+J18/K18</f>
        <v>19373.821989528795</v>
      </c>
      <c r="M18" s="147">
        <v>60</v>
      </c>
      <c r="N18" s="179">
        <f t="shared" ref="N18:N25" si="6">IF(AND(J18&lt;&gt;0,M18&lt;&gt;0),J18/M18,0)</f>
        <v>11101.2</v>
      </c>
      <c r="O18" s="181">
        <f t="shared" ref="O18:O25" ca="1" si="7">IF(B18&lt;&gt;0,(ROUND((NOW()-B18)/30,0)),0)</f>
        <v>245</v>
      </c>
      <c r="P18" s="174">
        <f t="shared" ca="1" si="3"/>
        <v>-2053722</v>
      </c>
      <c r="Q18" s="175">
        <f t="shared" ca="1" si="4"/>
        <v>1</v>
      </c>
      <c r="R18" s="151" t="s">
        <v>2791</v>
      </c>
    </row>
    <row r="19" spans="1:18" s="120" customFormat="1" ht="50.25" customHeight="1" x14ac:dyDescent="0.2">
      <c r="B19" s="146">
        <v>38495</v>
      </c>
      <c r="C19" s="146" t="s">
        <v>2349</v>
      </c>
      <c r="D19" s="147">
        <v>1787577</v>
      </c>
      <c r="E19" s="148" t="s">
        <v>2792</v>
      </c>
      <c r="F19" s="149" t="s">
        <v>2793</v>
      </c>
      <c r="G19" s="147" t="s">
        <v>2794</v>
      </c>
      <c r="H19" s="147" t="s">
        <v>40</v>
      </c>
      <c r="I19" s="147" t="s">
        <v>2795</v>
      </c>
      <c r="J19" s="176">
        <v>666072</v>
      </c>
      <c r="K19" s="177">
        <v>34.380000000000003</v>
      </c>
      <c r="L19" s="178">
        <f t="shared" si="5"/>
        <v>19373.821989528795</v>
      </c>
      <c r="M19" s="147">
        <v>60</v>
      </c>
      <c r="N19" s="179">
        <f t="shared" si="6"/>
        <v>11101.2</v>
      </c>
      <c r="O19" s="181">
        <f t="shared" ca="1" si="7"/>
        <v>245</v>
      </c>
      <c r="P19" s="174">
        <f t="shared" ca="1" si="3"/>
        <v>-2053722</v>
      </c>
      <c r="Q19" s="175">
        <f t="shared" ca="1" si="4"/>
        <v>1</v>
      </c>
      <c r="R19" s="151" t="s">
        <v>2791</v>
      </c>
    </row>
    <row r="20" spans="1:18" s="120" customFormat="1" ht="47.25" customHeight="1" x14ac:dyDescent="0.2">
      <c r="A20" s="127"/>
      <c r="B20" s="146">
        <v>38603</v>
      </c>
      <c r="C20" s="146" t="s">
        <v>2349</v>
      </c>
      <c r="D20" s="147">
        <v>3094464</v>
      </c>
      <c r="E20" s="148" t="s">
        <v>2796</v>
      </c>
      <c r="F20" s="149" t="s">
        <v>2797</v>
      </c>
      <c r="G20" s="842" t="s">
        <v>2798</v>
      </c>
      <c r="H20" s="147" t="s">
        <v>2799</v>
      </c>
      <c r="I20" s="147" t="s">
        <v>2790</v>
      </c>
      <c r="J20" s="176">
        <v>840910</v>
      </c>
      <c r="K20" s="177">
        <v>34.380000000000003</v>
      </c>
      <c r="L20" s="178">
        <f t="shared" si="5"/>
        <v>24459.278650378124</v>
      </c>
      <c r="M20" s="147">
        <v>60</v>
      </c>
      <c r="N20" s="179">
        <f t="shared" si="6"/>
        <v>14015.166666666666</v>
      </c>
      <c r="O20" s="181">
        <f t="shared" ca="1" si="7"/>
        <v>242</v>
      </c>
      <c r="P20" s="174">
        <f t="shared" ca="1" si="3"/>
        <v>-2550760.333333333</v>
      </c>
      <c r="Q20" s="175">
        <f t="shared" ca="1" si="4"/>
        <v>1</v>
      </c>
      <c r="R20" s="151" t="s">
        <v>2800</v>
      </c>
    </row>
    <row r="21" spans="1:18" s="120" customFormat="1" ht="40.15" customHeight="1" x14ac:dyDescent="0.2">
      <c r="A21" s="127"/>
      <c r="B21" s="146">
        <v>39035</v>
      </c>
      <c r="C21" s="146" t="s">
        <v>2349</v>
      </c>
      <c r="D21" s="147">
        <v>2251885</v>
      </c>
      <c r="E21" s="148" t="s">
        <v>2801</v>
      </c>
      <c r="F21" s="149" t="s">
        <v>2802</v>
      </c>
      <c r="G21" s="842" t="s">
        <v>2803</v>
      </c>
      <c r="H21" s="147" t="s">
        <v>40</v>
      </c>
      <c r="I21" s="147" t="s">
        <v>19</v>
      </c>
      <c r="J21" s="176">
        <v>1238989.55</v>
      </c>
      <c r="K21" s="177">
        <v>33.479999999999997</v>
      </c>
      <c r="L21" s="178">
        <f t="shared" si="5"/>
        <v>37006.856332138595</v>
      </c>
      <c r="M21" s="147">
        <v>60</v>
      </c>
      <c r="N21" s="179">
        <f t="shared" si="6"/>
        <v>20649.825833333332</v>
      </c>
      <c r="O21" s="181">
        <f t="shared" ca="1" si="7"/>
        <v>227</v>
      </c>
      <c r="P21" s="174">
        <f t="shared" ca="1" si="3"/>
        <v>-3448520.9141666666</v>
      </c>
      <c r="Q21" s="175">
        <f t="shared" ca="1" si="4"/>
        <v>1</v>
      </c>
      <c r="R21" s="151" t="s">
        <v>2804</v>
      </c>
    </row>
    <row r="22" spans="1:18" s="120" customFormat="1" ht="40.15" customHeight="1" x14ac:dyDescent="0.2">
      <c r="B22" s="142">
        <v>40066</v>
      </c>
      <c r="C22" s="142" t="s">
        <v>2349</v>
      </c>
      <c r="D22" s="143">
        <v>1504</v>
      </c>
      <c r="E22" s="144" t="s">
        <v>2805</v>
      </c>
      <c r="F22" s="149" t="s">
        <v>2806</v>
      </c>
      <c r="G22" s="143" t="s">
        <v>2807</v>
      </c>
      <c r="H22" s="143" t="s">
        <v>764</v>
      </c>
      <c r="I22" s="143" t="s">
        <v>19</v>
      </c>
      <c r="J22" s="169">
        <v>7194</v>
      </c>
      <c r="K22" s="170">
        <v>36.130000000000003</v>
      </c>
      <c r="L22" s="171">
        <f t="shared" si="5"/>
        <v>199.11430943814003</v>
      </c>
      <c r="M22" s="143">
        <v>60</v>
      </c>
      <c r="N22" s="172">
        <f t="shared" si="6"/>
        <v>119.9</v>
      </c>
      <c r="O22" s="173">
        <f t="shared" ca="1" si="7"/>
        <v>193</v>
      </c>
      <c r="P22" s="174">
        <f t="shared" ca="1" si="3"/>
        <v>-15946.7</v>
      </c>
      <c r="Q22" s="175">
        <f t="shared" ca="1" si="4"/>
        <v>1</v>
      </c>
      <c r="R22" s="150" t="s">
        <v>2808</v>
      </c>
    </row>
    <row r="23" spans="1:18" s="120" customFormat="1" ht="40.15" customHeight="1" x14ac:dyDescent="0.2">
      <c r="B23" s="142">
        <v>41145</v>
      </c>
      <c r="C23" s="142" t="s">
        <v>2349</v>
      </c>
      <c r="D23" s="143">
        <v>3644</v>
      </c>
      <c r="E23" s="144" t="s">
        <v>2809</v>
      </c>
      <c r="F23" s="145" t="s">
        <v>2810</v>
      </c>
      <c r="G23" s="143" t="s">
        <v>28</v>
      </c>
      <c r="H23" s="143" t="s">
        <v>2811</v>
      </c>
      <c r="I23" s="143" t="s">
        <v>19</v>
      </c>
      <c r="J23" s="169">
        <f>2586.21+413.79</f>
        <v>3000</v>
      </c>
      <c r="K23" s="170">
        <v>39.11</v>
      </c>
      <c r="L23" s="171">
        <f t="shared" si="5"/>
        <v>76.706724622858601</v>
      </c>
      <c r="M23" s="143">
        <v>60</v>
      </c>
      <c r="N23" s="172">
        <f t="shared" si="6"/>
        <v>50</v>
      </c>
      <c r="O23" s="173">
        <f t="shared" ca="1" si="7"/>
        <v>157</v>
      </c>
      <c r="P23" s="174">
        <f t="shared" ca="1" si="3"/>
        <v>-4850</v>
      </c>
      <c r="Q23" s="175">
        <f t="shared" ca="1" si="4"/>
        <v>1</v>
      </c>
      <c r="R23" s="150" t="s">
        <v>2812</v>
      </c>
    </row>
    <row r="24" spans="1:18" s="120" customFormat="1" ht="40.15" customHeight="1" x14ac:dyDescent="0.2">
      <c r="B24" s="142">
        <v>41331</v>
      </c>
      <c r="C24" s="142" t="s">
        <v>2349</v>
      </c>
      <c r="D24" s="143">
        <v>3722</v>
      </c>
      <c r="E24" s="144" t="s">
        <v>2813</v>
      </c>
      <c r="F24" s="145" t="s">
        <v>2814</v>
      </c>
      <c r="G24" s="143" t="s">
        <v>2815</v>
      </c>
      <c r="H24" s="143" t="s">
        <v>2816</v>
      </c>
      <c r="I24" s="143" t="s">
        <v>19</v>
      </c>
      <c r="J24" s="176">
        <v>8771.65</v>
      </c>
      <c r="K24" s="170">
        <v>40.869999999999997</v>
      </c>
      <c r="L24" s="171">
        <f t="shared" si="5"/>
        <v>214.62319549792025</v>
      </c>
      <c r="M24" s="143">
        <v>60</v>
      </c>
      <c r="N24" s="172">
        <f t="shared" si="6"/>
        <v>146.19416666666666</v>
      </c>
      <c r="O24" s="173">
        <f t="shared" ca="1" si="7"/>
        <v>151</v>
      </c>
      <c r="P24" s="174">
        <f t="shared" ca="1" si="3"/>
        <v>-13303.669166666665</v>
      </c>
      <c r="Q24" s="175">
        <f t="shared" ca="1" si="4"/>
        <v>1</v>
      </c>
      <c r="R24" s="150" t="s">
        <v>2817</v>
      </c>
    </row>
    <row r="25" spans="1:18" s="120" customFormat="1" ht="36" customHeight="1" x14ac:dyDescent="0.2">
      <c r="B25" s="142">
        <v>42041</v>
      </c>
      <c r="C25" s="142" t="s">
        <v>2349</v>
      </c>
      <c r="D25" s="145" t="s">
        <v>2818</v>
      </c>
      <c r="E25" s="144" t="s">
        <v>2819</v>
      </c>
      <c r="F25" s="145" t="s">
        <v>1168</v>
      </c>
      <c r="G25" s="143" t="s">
        <v>2820</v>
      </c>
      <c r="H25" s="143" t="s">
        <v>764</v>
      </c>
      <c r="I25" s="143" t="s">
        <v>19</v>
      </c>
      <c r="J25" s="182">
        <v>24097.360000000001</v>
      </c>
      <c r="K25" s="170">
        <v>44.782699999999998</v>
      </c>
      <c r="L25" s="183">
        <f t="shared" si="5"/>
        <v>538.09529126202756</v>
      </c>
      <c r="M25" s="143">
        <v>120</v>
      </c>
      <c r="N25" s="172">
        <f t="shared" si="6"/>
        <v>200.81133333333335</v>
      </c>
      <c r="O25" s="173">
        <f t="shared" ca="1" si="7"/>
        <v>127</v>
      </c>
      <c r="P25" s="174">
        <f t="shared" ca="1" si="3"/>
        <v>-1405.6793333333335</v>
      </c>
      <c r="Q25" s="175">
        <f t="shared" ca="1" si="4"/>
        <v>1</v>
      </c>
      <c r="R25" s="150" t="s">
        <v>1170</v>
      </c>
    </row>
    <row r="26" spans="1:18" s="127" customFormat="1" ht="36" customHeight="1" x14ac:dyDescent="0.2">
      <c r="B26" s="146">
        <v>42772</v>
      </c>
      <c r="C26" s="142" t="s">
        <v>2349</v>
      </c>
      <c r="D26" s="151" t="s">
        <v>2821</v>
      </c>
      <c r="E26" s="148" t="s">
        <v>2823</v>
      </c>
      <c r="F26" s="149" t="s">
        <v>2824</v>
      </c>
      <c r="G26" s="147" t="s">
        <v>28</v>
      </c>
      <c r="H26" s="147" t="s">
        <v>742</v>
      </c>
      <c r="I26" s="147" t="s">
        <v>19</v>
      </c>
      <c r="J26" s="184">
        <v>9414.6299999999992</v>
      </c>
      <c r="K26" s="177">
        <v>46.9</v>
      </c>
      <c r="L26" s="185">
        <f t="shared" ref="L26:L38" si="8">+J26/K26</f>
        <v>200.73837953091683</v>
      </c>
      <c r="M26" s="147">
        <v>120</v>
      </c>
      <c r="N26" s="179">
        <f t="shared" ref="N26:N36" si="9">IF(AND(J26&lt;&gt;0,M26&lt;&gt;0),J26/M26,0)</f>
        <v>78.455249999999992</v>
      </c>
      <c r="O26" s="180">
        <f t="shared" ref="O26:O38" ca="1" si="10">IF(B26&lt;&gt;0,(ROUND((NOW()-B26)/30,0)),0)</f>
        <v>103</v>
      </c>
      <c r="P26" s="186">
        <f t="shared" ref="P26:P36" ca="1" si="11">IF(OR(J26=0,M26=0,O26=0),0,J26-(N26*O26))</f>
        <v>1333.7392499999996</v>
      </c>
      <c r="Q26" s="175">
        <f t="shared" ca="1" si="4"/>
        <v>1333.7392499999996</v>
      </c>
      <c r="R26" s="151" t="s">
        <v>2822</v>
      </c>
    </row>
    <row r="27" spans="1:18" s="120" customFormat="1" ht="36" customHeight="1" x14ac:dyDescent="0.2">
      <c r="B27" s="142">
        <v>42772</v>
      </c>
      <c r="C27" s="142" t="s">
        <v>2349</v>
      </c>
      <c r="D27" s="150" t="s">
        <v>2821</v>
      </c>
      <c r="E27" s="144" t="s">
        <v>2825</v>
      </c>
      <c r="F27" s="145" t="s">
        <v>2826</v>
      </c>
      <c r="G27" s="143" t="s">
        <v>28</v>
      </c>
      <c r="H27" s="143" t="s">
        <v>742</v>
      </c>
      <c r="I27" s="143" t="s">
        <v>19</v>
      </c>
      <c r="J27" s="182">
        <f t="shared" ref="J27:J32" si="12">(11100+9000+2700+1200)/6</f>
        <v>4000</v>
      </c>
      <c r="K27" s="170">
        <v>46.9</v>
      </c>
      <c r="L27" s="183">
        <f t="shared" si="8"/>
        <v>85.287846481876329</v>
      </c>
      <c r="M27" s="143">
        <v>60</v>
      </c>
      <c r="N27" s="172">
        <f t="shared" si="9"/>
        <v>66.666666666666671</v>
      </c>
      <c r="O27" s="173">
        <f t="shared" ca="1" si="10"/>
        <v>103</v>
      </c>
      <c r="P27" s="174">
        <f t="shared" ca="1" si="11"/>
        <v>-2866.666666666667</v>
      </c>
      <c r="Q27" s="175">
        <f t="shared" ca="1" si="4"/>
        <v>1</v>
      </c>
      <c r="R27" s="150" t="s">
        <v>2827</v>
      </c>
    </row>
    <row r="28" spans="1:18" s="120" customFormat="1" ht="36" customHeight="1" x14ac:dyDescent="0.2">
      <c r="B28" s="142">
        <v>42772</v>
      </c>
      <c r="C28" s="142" t="s">
        <v>2349</v>
      </c>
      <c r="D28" s="150" t="s">
        <v>2821</v>
      </c>
      <c r="E28" s="144" t="s">
        <v>2828</v>
      </c>
      <c r="F28" s="145" t="s">
        <v>2826</v>
      </c>
      <c r="G28" s="143" t="s">
        <v>28</v>
      </c>
      <c r="H28" s="143" t="s">
        <v>742</v>
      </c>
      <c r="I28" s="143" t="s">
        <v>19</v>
      </c>
      <c r="J28" s="182">
        <f t="shared" si="12"/>
        <v>4000</v>
      </c>
      <c r="K28" s="170">
        <v>46.9</v>
      </c>
      <c r="L28" s="183">
        <f t="shared" si="8"/>
        <v>85.287846481876329</v>
      </c>
      <c r="M28" s="143">
        <v>60</v>
      </c>
      <c r="N28" s="172">
        <f t="shared" si="9"/>
        <v>66.666666666666671</v>
      </c>
      <c r="O28" s="173">
        <f t="shared" ca="1" si="10"/>
        <v>103</v>
      </c>
      <c r="P28" s="174">
        <f t="shared" ca="1" si="11"/>
        <v>-2866.666666666667</v>
      </c>
      <c r="Q28" s="175">
        <f t="shared" ca="1" si="4"/>
        <v>1</v>
      </c>
      <c r="R28" s="150" t="s">
        <v>2827</v>
      </c>
    </row>
    <row r="29" spans="1:18" s="120" customFormat="1" ht="36" customHeight="1" x14ac:dyDescent="0.2">
      <c r="B29" s="142">
        <v>42772</v>
      </c>
      <c r="C29" s="142" t="s">
        <v>2349</v>
      </c>
      <c r="D29" s="150" t="s">
        <v>2821</v>
      </c>
      <c r="E29" s="144" t="s">
        <v>2829</v>
      </c>
      <c r="F29" s="145" t="s">
        <v>2826</v>
      </c>
      <c r="G29" s="143" t="s">
        <v>28</v>
      </c>
      <c r="H29" s="143" t="s">
        <v>742</v>
      </c>
      <c r="I29" s="143" t="s">
        <v>19</v>
      </c>
      <c r="J29" s="182">
        <f t="shared" si="12"/>
        <v>4000</v>
      </c>
      <c r="K29" s="170">
        <v>46.9</v>
      </c>
      <c r="L29" s="183">
        <f t="shared" si="8"/>
        <v>85.287846481876329</v>
      </c>
      <c r="M29" s="143">
        <v>60</v>
      </c>
      <c r="N29" s="172">
        <f t="shared" si="9"/>
        <v>66.666666666666671</v>
      </c>
      <c r="O29" s="173">
        <f t="shared" ca="1" si="10"/>
        <v>103</v>
      </c>
      <c r="P29" s="174">
        <f t="shared" ca="1" si="11"/>
        <v>-2866.666666666667</v>
      </c>
      <c r="Q29" s="175">
        <f t="shared" ca="1" si="4"/>
        <v>1</v>
      </c>
      <c r="R29" s="150" t="s">
        <v>2827</v>
      </c>
    </row>
    <row r="30" spans="1:18" s="120" customFormat="1" ht="36" customHeight="1" x14ac:dyDescent="0.2">
      <c r="B30" s="142">
        <v>42772</v>
      </c>
      <c r="C30" s="142" t="s">
        <v>2349</v>
      </c>
      <c r="D30" s="150" t="s">
        <v>2821</v>
      </c>
      <c r="E30" s="144" t="s">
        <v>2830</v>
      </c>
      <c r="F30" s="145" t="s">
        <v>2826</v>
      </c>
      <c r="G30" s="143" t="s">
        <v>28</v>
      </c>
      <c r="H30" s="143" t="s">
        <v>742</v>
      </c>
      <c r="I30" s="143" t="s">
        <v>19</v>
      </c>
      <c r="J30" s="182">
        <f t="shared" si="12"/>
        <v>4000</v>
      </c>
      <c r="K30" s="170">
        <v>46.9</v>
      </c>
      <c r="L30" s="183">
        <f t="shared" si="8"/>
        <v>85.287846481876329</v>
      </c>
      <c r="M30" s="143">
        <v>60</v>
      </c>
      <c r="N30" s="172">
        <f t="shared" si="9"/>
        <v>66.666666666666671</v>
      </c>
      <c r="O30" s="173">
        <f t="shared" ca="1" si="10"/>
        <v>103</v>
      </c>
      <c r="P30" s="174">
        <f t="shared" ca="1" si="11"/>
        <v>-2866.666666666667</v>
      </c>
      <c r="Q30" s="175">
        <f t="shared" ca="1" si="4"/>
        <v>1</v>
      </c>
      <c r="R30" s="150" t="s">
        <v>2827</v>
      </c>
    </row>
    <row r="31" spans="1:18" s="120" customFormat="1" ht="36" customHeight="1" x14ac:dyDescent="0.2">
      <c r="B31" s="142">
        <v>42772</v>
      </c>
      <c r="C31" s="142" t="s">
        <v>2349</v>
      </c>
      <c r="D31" s="150" t="s">
        <v>2821</v>
      </c>
      <c r="E31" s="144" t="s">
        <v>2831</v>
      </c>
      <c r="F31" s="145" t="s">
        <v>2826</v>
      </c>
      <c r="G31" s="143" t="s">
        <v>28</v>
      </c>
      <c r="H31" s="143" t="s">
        <v>742</v>
      </c>
      <c r="I31" s="143" t="s">
        <v>19</v>
      </c>
      <c r="J31" s="182">
        <f t="shared" si="12"/>
        <v>4000</v>
      </c>
      <c r="K31" s="170">
        <v>46.9</v>
      </c>
      <c r="L31" s="183">
        <f t="shared" si="8"/>
        <v>85.287846481876329</v>
      </c>
      <c r="M31" s="143">
        <v>60</v>
      </c>
      <c r="N31" s="172">
        <f t="shared" si="9"/>
        <v>66.666666666666671</v>
      </c>
      <c r="O31" s="173">
        <f t="shared" ca="1" si="10"/>
        <v>103</v>
      </c>
      <c r="P31" s="174">
        <f t="shared" ca="1" si="11"/>
        <v>-2866.666666666667</v>
      </c>
      <c r="Q31" s="175">
        <f t="shared" ca="1" si="4"/>
        <v>1</v>
      </c>
      <c r="R31" s="150" t="s">
        <v>2827</v>
      </c>
    </row>
    <row r="32" spans="1:18" s="120" customFormat="1" ht="36" customHeight="1" x14ac:dyDescent="0.2">
      <c r="B32" s="142">
        <v>42772</v>
      </c>
      <c r="C32" s="142" t="s">
        <v>2349</v>
      </c>
      <c r="D32" s="150" t="s">
        <v>2821</v>
      </c>
      <c r="E32" s="144" t="s">
        <v>2832</v>
      </c>
      <c r="F32" s="145" t="s">
        <v>2826</v>
      </c>
      <c r="G32" s="143" t="s">
        <v>28</v>
      </c>
      <c r="H32" s="143" t="s">
        <v>742</v>
      </c>
      <c r="I32" s="143" t="s">
        <v>19</v>
      </c>
      <c r="J32" s="182">
        <f t="shared" si="12"/>
        <v>4000</v>
      </c>
      <c r="K32" s="170">
        <v>46.9</v>
      </c>
      <c r="L32" s="183">
        <f t="shared" si="8"/>
        <v>85.287846481876329</v>
      </c>
      <c r="M32" s="143">
        <v>60</v>
      </c>
      <c r="N32" s="172">
        <f t="shared" si="9"/>
        <v>66.666666666666671</v>
      </c>
      <c r="O32" s="173">
        <f t="shared" ca="1" si="10"/>
        <v>103</v>
      </c>
      <c r="P32" s="174">
        <f t="shared" ca="1" si="11"/>
        <v>-2866.666666666667</v>
      </c>
      <c r="Q32" s="175">
        <f t="shared" ca="1" si="4"/>
        <v>1</v>
      </c>
      <c r="R32" s="150" t="s">
        <v>2827</v>
      </c>
    </row>
    <row r="33" spans="2:19" s="120" customFormat="1" ht="36" customHeight="1" x14ac:dyDescent="0.2">
      <c r="B33" s="142">
        <v>42772</v>
      </c>
      <c r="C33" s="142" t="s">
        <v>2349</v>
      </c>
      <c r="D33" s="150" t="s">
        <v>2821</v>
      </c>
      <c r="E33" s="144" t="s">
        <v>2833</v>
      </c>
      <c r="F33" s="145" t="s">
        <v>2834</v>
      </c>
      <c r="G33" s="143" t="s">
        <v>28</v>
      </c>
      <c r="H33" s="143" t="s">
        <v>742</v>
      </c>
      <c r="I33" s="143" t="s">
        <v>19</v>
      </c>
      <c r="J33" s="182">
        <v>1106.25</v>
      </c>
      <c r="K33" s="170">
        <v>46.9</v>
      </c>
      <c r="L33" s="183">
        <f t="shared" si="8"/>
        <v>23.587420042643924</v>
      </c>
      <c r="M33" s="143">
        <v>60</v>
      </c>
      <c r="N33" s="172">
        <f t="shared" si="9"/>
        <v>18.4375</v>
      </c>
      <c r="O33" s="173">
        <f t="shared" ca="1" si="10"/>
        <v>103</v>
      </c>
      <c r="P33" s="174">
        <f t="shared" ca="1" si="11"/>
        <v>-792.8125</v>
      </c>
      <c r="Q33" s="175">
        <f t="shared" ca="1" si="4"/>
        <v>1</v>
      </c>
      <c r="R33" s="150" t="s">
        <v>2835</v>
      </c>
    </row>
    <row r="34" spans="2:19" s="120" customFormat="1" ht="36" customHeight="1" x14ac:dyDescent="0.2">
      <c r="B34" s="142">
        <v>42772</v>
      </c>
      <c r="C34" s="142" t="s">
        <v>2349</v>
      </c>
      <c r="D34" s="150" t="s">
        <v>2821</v>
      </c>
      <c r="E34" s="144" t="s">
        <v>2836</v>
      </c>
      <c r="F34" s="145" t="s">
        <v>2837</v>
      </c>
      <c r="G34" s="143" t="s">
        <v>28</v>
      </c>
      <c r="H34" s="143" t="s">
        <v>742</v>
      </c>
      <c r="I34" s="143" t="s">
        <v>19</v>
      </c>
      <c r="J34" s="182">
        <v>4500</v>
      </c>
      <c r="K34" s="170">
        <v>46.9</v>
      </c>
      <c r="L34" s="183">
        <f t="shared" si="8"/>
        <v>95.948827292110877</v>
      </c>
      <c r="M34" s="143">
        <v>60</v>
      </c>
      <c r="N34" s="172">
        <f t="shared" si="9"/>
        <v>75</v>
      </c>
      <c r="O34" s="173">
        <f t="shared" ca="1" si="10"/>
        <v>103</v>
      </c>
      <c r="P34" s="174">
        <f t="shared" ca="1" si="11"/>
        <v>-3225</v>
      </c>
      <c r="Q34" s="175">
        <f t="shared" ca="1" si="4"/>
        <v>1</v>
      </c>
      <c r="R34" s="150" t="s">
        <v>2827</v>
      </c>
    </row>
    <row r="35" spans="2:19" s="127" customFormat="1" ht="36" customHeight="1" x14ac:dyDescent="0.2">
      <c r="B35" s="146">
        <v>42772</v>
      </c>
      <c r="C35" s="142" t="s">
        <v>2349</v>
      </c>
      <c r="D35" s="151" t="s">
        <v>2821</v>
      </c>
      <c r="E35" s="148" t="s">
        <v>2838</v>
      </c>
      <c r="F35" s="149" t="s">
        <v>2839</v>
      </c>
      <c r="G35" s="147" t="s">
        <v>28</v>
      </c>
      <c r="H35" s="147" t="s">
        <v>742</v>
      </c>
      <c r="I35" s="147" t="s">
        <v>19</v>
      </c>
      <c r="J35" s="184">
        <v>4945</v>
      </c>
      <c r="K35" s="177">
        <v>46.9</v>
      </c>
      <c r="L35" s="185">
        <f t="shared" si="8"/>
        <v>105.43710021321962</v>
      </c>
      <c r="M35" s="143">
        <v>60</v>
      </c>
      <c r="N35" s="179">
        <f t="shared" si="9"/>
        <v>82.416666666666671</v>
      </c>
      <c r="O35" s="180">
        <f t="shared" ca="1" si="10"/>
        <v>103</v>
      </c>
      <c r="P35" s="186">
        <f t="shared" ca="1" si="11"/>
        <v>-3543.9166666666679</v>
      </c>
      <c r="Q35" s="175">
        <f t="shared" ca="1" si="4"/>
        <v>1</v>
      </c>
      <c r="R35" s="151" t="s">
        <v>2827</v>
      </c>
    </row>
    <row r="36" spans="2:19" s="120" customFormat="1" ht="36" customHeight="1" x14ac:dyDescent="0.2">
      <c r="B36" s="142">
        <v>43783</v>
      </c>
      <c r="C36" s="142" t="s">
        <v>2349</v>
      </c>
      <c r="D36" s="150" t="s">
        <v>2840</v>
      </c>
      <c r="E36" s="143" t="s">
        <v>2841</v>
      </c>
      <c r="F36" s="145" t="s">
        <v>2842</v>
      </c>
      <c r="G36" s="143" t="s">
        <v>28</v>
      </c>
      <c r="H36" s="143" t="s">
        <v>2843</v>
      </c>
      <c r="I36" s="143" t="s">
        <v>19</v>
      </c>
      <c r="J36" s="187">
        <v>2373</v>
      </c>
      <c r="K36" s="187">
        <v>52.7806</v>
      </c>
      <c r="L36" s="188">
        <f t="shared" si="8"/>
        <v>44.959701102298951</v>
      </c>
      <c r="M36" s="143">
        <v>36</v>
      </c>
      <c r="N36" s="172">
        <f t="shared" si="9"/>
        <v>65.916666666666671</v>
      </c>
      <c r="O36" s="173">
        <f t="shared" ca="1" si="10"/>
        <v>69</v>
      </c>
      <c r="P36" s="189">
        <f t="shared" ca="1" si="11"/>
        <v>-2175.25</v>
      </c>
      <c r="Q36" s="175">
        <f t="shared" ca="1" si="4"/>
        <v>1</v>
      </c>
      <c r="R36" s="150" t="s">
        <v>2844</v>
      </c>
    </row>
    <row r="37" spans="2:19" s="120" customFormat="1" ht="48.75" customHeight="1" x14ac:dyDescent="0.2">
      <c r="B37" s="904">
        <v>44649</v>
      </c>
      <c r="C37" s="904" t="s">
        <v>2349</v>
      </c>
      <c r="D37" s="905" t="s">
        <v>2845</v>
      </c>
      <c r="E37" s="906" t="s">
        <v>7040</v>
      </c>
      <c r="F37" s="905" t="s">
        <v>2846</v>
      </c>
      <c r="G37" s="913" t="s">
        <v>6976</v>
      </c>
      <c r="H37" s="905" t="s">
        <v>2847</v>
      </c>
      <c r="I37" s="906" t="s">
        <v>19</v>
      </c>
      <c r="J37" s="908">
        <v>16933</v>
      </c>
      <c r="K37" s="909">
        <v>54.876100000000001</v>
      </c>
      <c r="L37" s="910">
        <f t="shared" si="8"/>
        <v>308.56784647597038</v>
      </c>
      <c r="M37" s="906">
        <v>60</v>
      </c>
      <c r="N37" s="911">
        <f>IF(AND(J37&lt;&gt;0,L38&lt;&gt;0),J37/L38,0)</f>
        <v>54.876100000000008</v>
      </c>
      <c r="O37" s="911">
        <f t="shared" ca="1" si="10"/>
        <v>40</v>
      </c>
      <c r="P37" s="911">
        <f ca="1">IF(OR(J37=0,L38=0,O37=0),0,J37-(N37*O37))</f>
        <v>14737.956</v>
      </c>
      <c r="Q37" s="912">
        <f t="shared" ca="1" si="4"/>
        <v>14737.956</v>
      </c>
      <c r="R37" s="907" t="s">
        <v>2848</v>
      </c>
      <c r="S37" s="896" t="s">
        <v>6976</v>
      </c>
    </row>
    <row r="38" spans="2:19" s="120" customFormat="1" ht="51" customHeight="1" x14ac:dyDescent="0.2">
      <c r="B38" s="904">
        <v>44649</v>
      </c>
      <c r="C38" s="904" t="s">
        <v>2349</v>
      </c>
      <c r="D38" s="905" t="s">
        <v>2845</v>
      </c>
      <c r="E38" s="906" t="s">
        <v>7041</v>
      </c>
      <c r="F38" s="905" t="s">
        <v>2846</v>
      </c>
      <c r="G38" s="913" t="s">
        <v>6976</v>
      </c>
      <c r="H38" s="905" t="s">
        <v>2847</v>
      </c>
      <c r="I38" s="906" t="s">
        <v>19</v>
      </c>
      <c r="J38" s="908">
        <v>16933</v>
      </c>
      <c r="K38" s="909">
        <v>54.876100000000001</v>
      </c>
      <c r="L38" s="910">
        <f t="shared" si="8"/>
        <v>308.56784647597038</v>
      </c>
      <c r="M38" s="906">
        <v>60</v>
      </c>
      <c r="N38" s="911">
        <f>IF(AND(J38&lt;&gt;0,L39&lt;&gt;0),J38/L39,0)</f>
        <v>0.15509778954153922</v>
      </c>
      <c r="O38" s="911">
        <f t="shared" ca="1" si="10"/>
        <v>40</v>
      </c>
      <c r="P38" s="911">
        <f ca="1">IF(OR(J38=0,L39=0,O38=0),0,J38-(N38*O38))</f>
        <v>16926.796088418338</v>
      </c>
      <c r="Q38" s="912">
        <f t="shared" ca="1" si="4"/>
        <v>16926.796088418338</v>
      </c>
      <c r="R38" s="907" t="s">
        <v>2848</v>
      </c>
      <c r="S38" s="896" t="s">
        <v>6976</v>
      </c>
    </row>
    <row r="39" spans="2:19" s="120" customFormat="1" ht="15.75" customHeight="1" x14ac:dyDescent="0.2">
      <c r="B39" s="152"/>
      <c r="C39" s="448"/>
      <c r="D39" s="153"/>
      <c r="E39" s="723" t="s">
        <v>2332</v>
      </c>
      <c r="F39" s="723"/>
      <c r="G39" s="723"/>
      <c r="H39" s="723"/>
      <c r="I39" s="724"/>
      <c r="J39" s="725">
        <f>SUBTOTAL(9,J7:J38)</f>
        <v>3663593.21</v>
      </c>
      <c r="K39" s="726"/>
      <c r="L39" s="725">
        <f>SUBTOTAL(9,L7:L38)</f>
        <v>109176.28194478493</v>
      </c>
      <c r="M39" s="727"/>
      <c r="N39" s="728"/>
      <c r="O39" s="729"/>
      <c r="P39" s="725">
        <f ca="1">SUBTOTAL(9,P7:P37)</f>
        <v>-10622019.223583328</v>
      </c>
      <c r="Q39" s="730">
        <f ca="1">SUM(Q7:Q38)</f>
        <v>33027.491338418338</v>
      </c>
      <c r="R39" s="205"/>
    </row>
    <row r="40" spans="2:19" s="120" customFormat="1" ht="14.25" customHeight="1" x14ac:dyDescent="0.25">
      <c r="B40" s="154"/>
      <c r="C40" s="449"/>
      <c r="D40" s="155"/>
      <c r="E40" s="155"/>
      <c r="F40" s="987"/>
      <c r="G40" s="987"/>
      <c r="H40" s="987"/>
      <c r="I40" s="156"/>
      <c r="J40" s="190"/>
      <c r="L40" s="191"/>
      <c r="M40" s="192"/>
      <c r="N40" s="108"/>
      <c r="O40" s="104"/>
      <c r="P40" s="193"/>
      <c r="Q40" s="193"/>
      <c r="R40" s="206"/>
    </row>
    <row r="41" spans="2:19" s="120" customFormat="1" x14ac:dyDescent="0.25">
      <c r="B41" s="157"/>
      <c r="C41" s="450"/>
      <c r="D41" s="158"/>
      <c r="E41" s="158"/>
      <c r="F41" s="159"/>
      <c r="G41" s="160"/>
      <c r="H41" s="160"/>
      <c r="I41" s="160"/>
      <c r="J41" s="194"/>
      <c r="K41" s="108"/>
      <c r="L41" s="104"/>
      <c r="M41" s="195"/>
      <c r="N41" s="196"/>
      <c r="O41" s="197"/>
      <c r="P41" s="198"/>
      <c r="Q41" s="198"/>
      <c r="R41" s="207"/>
    </row>
    <row r="42" spans="2:19" s="120" customFormat="1" x14ac:dyDescent="0.25">
      <c r="B42" s="157"/>
      <c r="C42" s="450"/>
      <c r="D42" s="160"/>
      <c r="E42" s="160"/>
      <c r="F42" s="159"/>
      <c r="G42" s="988" t="s">
        <v>2333</v>
      </c>
      <c r="H42" s="989"/>
      <c r="I42" s="990"/>
      <c r="J42" s="199"/>
      <c r="M42" s="195"/>
      <c r="N42" s="108"/>
      <c r="O42" s="104"/>
      <c r="P42" s="198"/>
      <c r="Q42" s="198"/>
      <c r="R42" s="207"/>
    </row>
    <row r="43" spans="2:19" s="120" customFormat="1" ht="12.75" x14ac:dyDescent="0.2">
      <c r="B43" s="157"/>
      <c r="C43" s="450"/>
      <c r="D43" s="160"/>
      <c r="E43" s="160"/>
      <c r="F43" s="159"/>
      <c r="G43" s="161"/>
      <c r="H43" s="162" t="s">
        <v>2334</v>
      </c>
      <c r="I43" s="163" t="s">
        <v>2335</v>
      </c>
      <c r="J43" s="200"/>
      <c r="L43" s="200"/>
      <c r="M43" s="195"/>
      <c r="N43" s="196"/>
      <c r="O43" s="197"/>
      <c r="P43" s="198"/>
      <c r="Q43" s="198"/>
      <c r="R43" s="207"/>
    </row>
    <row r="44" spans="2:19" s="120" customFormat="1" ht="16.149999999999999" customHeight="1" x14ac:dyDescent="0.2">
      <c r="B44" s="157"/>
      <c r="C44" s="450"/>
      <c r="D44" s="164"/>
      <c r="E44" s="164"/>
      <c r="F44" s="165"/>
      <c r="G44" s="78" t="s">
        <v>2849</v>
      </c>
      <c r="H44" s="166">
        <f>SUM(J7:J8)</f>
        <v>13135</v>
      </c>
      <c r="I44" s="167">
        <f>SUM(L7:L8)</f>
        <v>774.46933962264143</v>
      </c>
      <c r="J44" s="201"/>
      <c r="K44" s="202"/>
      <c r="L44" s="201"/>
      <c r="M44" s="202"/>
      <c r="N44" s="202"/>
      <c r="O44" s="202"/>
      <c r="P44" s="198"/>
      <c r="Q44" s="198"/>
      <c r="R44" s="207"/>
    </row>
    <row r="45" spans="2:19" s="120" customFormat="1" ht="16.149999999999999" customHeight="1" x14ac:dyDescent="0.2">
      <c r="B45" s="157"/>
      <c r="C45" s="450"/>
      <c r="D45" s="164"/>
      <c r="E45" s="164"/>
      <c r="F45" s="165"/>
      <c r="G45" s="78" t="s">
        <v>2850</v>
      </c>
      <c r="H45" s="166">
        <f>SUM(J9:J17)</f>
        <v>115146.77</v>
      </c>
      <c r="I45" s="167">
        <f>SUM(L9:L17)</f>
        <v>5559.9599227426352</v>
      </c>
      <c r="J45" s="201"/>
      <c r="M45" s="202"/>
      <c r="P45" s="198"/>
      <c r="Q45" s="198"/>
      <c r="R45" s="207"/>
    </row>
    <row r="46" spans="2:19" s="120" customFormat="1" ht="16.149999999999999" customHeight="1" x14ac:dyDescent="0.2">
      <c r="B46" s="157"/>
      <c r="C46" s="450"/>
      <c r="D46" s="164"/>
      <c r="E46" s="164"/>
      <c r="F46" s="165"/>
      <c r="G46" s="78" t="s">
        <v>2851</v>
      </c>
      <c r="H46" s="166">
        <v>0</v>
      </c>
      <c r="I46" s="167">
        <v>0</v>
      </c>
      <c r="P46" s="198"/>
      <c r="Q46" s="198"/>
      <c r="R46" s="207"/>
    </row>
    <row r="47" spans="2:19" s="120" customFormat="1" ht="16.149999999999999" customHeight="1" x14ac:dyDescent="0.2">
      <c r="B47" s="157"/>
      <c r="C47" s="450"/>
      <c r="D47" s="164"/>
      <c r="E47" s="164"/>
      <c r="F47" s="165"/>
      <c r="G47" s="78" t="s">
        <v>2852</v>
      </c>
      <c r="H47" s="166">
        <v>0</v>
      </c>
      <c r="I47" s="167">
        <v>0</v>
      </c>
      <c r="R47" s="207"/>
    </row>
    <row r="48" spans="2:19" s="120" customFormat="1" ht="16.149999999999999" customHeight="1" x14ac:dyDescent="0.25">
      <c r="B48" s="157"/>
      <c r="C48" s="450"/>
      <c r="D48" s="164"/>
      <c r="E48" s="164"/>
      <c r="F48" s="165"/>
      <c r="G48" s="78" t="s">
        <v>2336</v>
      </c>
      <c r="H48" s="166">
        <f>SUM(J18:J20)</f>
        <v>2173054</v>
      </c>
      <c r="I48" s="167">
        <f>SUM(L18:L20)</f>
        <v>63206.922629435714</v>
      </c>
      <c r="J48" s="194"/>
      <c r="K48" s="103" t="s">
        <v>2636</v>
      </c>
      <c r="L48" s="203" t="s">
        <v>2637</v>
      </c>
      <c r="M48" s="195"/>
      <c r="N48" s="196"/>
      <c r="O48" s="197"/>
      <c r="R48" s="207"/>
    </row>
    <row r="49" spans="2:18" s="120" customFormat="1" ht="16.149999999999999" customHeight="1" x14ac:dyDescent="0.2">
      <c r="B49" s="157"/>
      <c r="C49" s="450"/>
      <c r="D49" s="164"/>
      <c r="E49" s="164"/>
      <c r="F49" s="165"/>
      <c r="G49" s="78" t="s">
        <v>2337</v>
      </c>
      <c r="H49" s="166">
        <f>SUM(J21)</f>
        <v>1238989.55</v>
      </c>
      <c r="I49" s="167">
        <f>SUM(L21)</f>
        <v>37006.856332138595</v>
      </c>
      <c r="J49" s="194"/>
      <c r="K49" s="99"/>
      <c r="L49" s="101"/>
      <c r="M49" s="195"/>
      <c r="N49" s="196"/>
      <c r="O49" s="197"/>
      <c r="R49" s="207"/>
    </row>
    <row r="50" spans="2:18" s="120" customFormat="1" ht="16.149999999999999" customHeight="1" x14ac:dyDescent="0.25">
      <c r="B50" s="157"/>
      <c r="C50" s="450"/>
      <c r="D50" s="164"/>
      <c r="E50" s="164"/>
      <c r="F50" s="165"/>
      <c r="G50" s="78" t="s">
        <v>2338</v>
      </c>
      <c r="H50" s="166">
        <v>0</v>
      </c>
      <c r="I50" s="167">
        <v>0</v>
      </c>
      <c r="J50" s="194"/>
      <c r="K50" s="103" t="s">
        <v>2638</v>
      </c>
      <c r="L50" s="204" t="s">
        <v>2639</v>
      </c>
      <c r="M50" s="195"/>
      <c r="N50" s="196"/>
      <c r="O50" s="197"/>
      <c r="R50" s="207"/>
    </row>
    <row r="51" spans="2:18" s="120" customFormat="1" ht="16.149999999999999" customHeight="1" x14ac:dyDescent="0.2">
      <c r="B51" s="157"/>
      <c r="C51" s="450"/>
      <c r="D51" s="164"/>
      <c r="E51" s="164"/>
      <c r="F51" s="165"/>
      <c r="G51" s="78" t="s">
        <v>2339</v>
      </c>
      <c r="H51" s="166">
        <v>0</v>
      </c>
      <c r="I51" s="167">
        <v>0</v>
      </c>
      <c r="J51" s="194"/>
      <c r="K51" s="99"/>
      <c r="L51" s="100"/>
      <c r="M51" s="195"/>
      <c r="N51" s="196"/>
      <c r="O51" s="197"/>
      <c r="R51" s="207"/>
    </row>
    <row r="52" spans="2:18" s="120" customFormat="1" ht="16.149999999999999" customHeight="1" x14ac:dyDescent="0.25">
      <c r="B52" s="157"/>
      <c r="C52" s="450"/>
      <c r="D52" s="164"/>
      <c r="E52" s="164"/>
      <c r="F52" s="165"/>
      <c r="G52" s="208" t="s">
        <v>2340</v>
      </c>
      <c r="H52" s="209">
        <f>SUM(J22)</f>
        <v>7194</v>
      </c>
      <c r="I52" s="210">
        <f>SUM(L22)</f>
        <v>199.11430943814003</v>
      </c>
      <c r="J52" s="194"/>
      <c r="K52" s="108" t="s">
        <v>2640</v>
      </c>
      <c r="L52" s="203" t="s">
        <v>2853</v>
      </c>
      <c r="M52" s="235"/>
      <c r="N52" s="236"/>
      <c r="O52" s="237"/>
      <c r="R52" s="207"/>
    </row>
    <row r="53" spans="2:18" s="120" customFormat="1" ht="16.149999999999999" customHeight="1" x14ac:dyDescent="0.2">
      <c r="B53" s="157"/>
      <c r="C53" s="450"/>
      <c r="D53" s="164"/>
      <c r="E53" s="164"/>
      <c r="F53" s="165"/>
      <c r="G53" s="78" t="s">
        <v>2341</v>
      </c>
      <c r="H53" s="166">
        <v>0</v>
      </c>
      <c r="I53" s="167">
        <v>0</v>
      </c>
      <c r="R53" s="207"/>
    </row>
    <row r="54" spans="2:18" s="120" customFormat="1" ht="16.149999999999999" customHeight="1" x14ac:dyDescent="0.2">
      <c r="B54" s="157"/>
      <c r="C54" s="450"/>
      <c r="D54" s="164"/>
      <c r="E54" s="164"/>
      <c r="F54" s="165"/>
      <c r="G54" s="211" t="s">
        <v>2342</v>
      </c>
      <c r="H54" s="212">
        <v>0</v>
      </c>
      <c r="I54" s="213">
        <v>0</v>
      </c>
      <c r="R54" s="207"/>
    </row>
    <row r="55" spans="2:18" s="120" customFormat="1" ht="16.149999999999999" customHeight="1" x14ac:dyDescent="0.2">
      <c r="B55" s="157"/>
      <c r="C55" s="450"/>
      <c r="D55" s="164"/>
      <c r="E55" s="164"/>
      <c r="F55" s="165"/>
      <c r="G55" s="78" t="s">
        <v>2343</v>
      </c>
      <c r="H55" s="209">
        <f>SUM(J23:J23)</f>
        <v>3000</v>
      </c>
      <c r="I55" s="210">
        <f>SUM(L23:L23)</f>
        <v>76.706724622858601</v>
      </c>
      <c r="R55" s="207"/>
    </row>
    <row r="56" spans="2:18" s="120" customFormat="1" ht="16.149999999999999" customHeight="1" x14ac:dyDescent="0.2">
      <c r="B56" s="157"/>
      <c r="C56" s="450"/>
      <c r="D56" s="164"/>
      <c r="E56" s="164"/>
      <c r="F56" s="165"/>
      <c r="G56" s="208" t="s">
        <v>2344</v>
      </c>
      <c r="H56" s="166">
        <f>SUM(J24)</f>
        <v>8771.65</v>
      </c>
      <c r="I56" s="214">
        <f>SUM(L24)</f>
        <v>214.62319549792025</v>
      </c>
      <c r="J56" s="201"/>
      <c r="R56" s="207"/>
    </row>
    <row r="57" spans="2:18" s="120" customFormat="1" ht="16.149999999999999" customHeight="1" x14ac:dyDescent="0.2">
      <c r="B57" s="157"/>
      <c r="C57" s="450"/>
      <c r="D57" s="164"/>
      <c r="E57" s="164"/>
      <c r="F57" s="165"/>
      <c r="G57" s="215" t="s">
        <v>2346</v>
      </c>
      <c r="H57" s="209"/>
      <c r="I57" s="167"/>
      <c r="J57" s="238" t="s">
        <v>6399</v>
      </c>
      <c r="K57" s="239"/>
      <c r="L57" s="239"/>
      <c r="M57" s="239"/>
      <c r="N57" s="239"/>
      <c r="O57" s="239"/>
      <c r="P57" s="240"/>
      <c r="Q57" s="240"/>
      <c r="R57" s="239"/>
    </row>
    <row r="58" spans="2:18" s="120" customFormat="1" ht="16.149999999999999" customHeight="1" x14ac:dyDescent="0.2">
      <c r="B58" s="157"/>
      <c r="C58" s="450"/>
      <c r="D58" s="164"/>
      <c r="E58" s="164"/>
      <c r="F58" s="165"/>
      <c r="G58" s="215" t="s">
        <v>2347</v>
      </c>
      <c r="H58" s="216">
        <f>SUM(J25)</f>
        <v>24097.360000000001</v>
      </c>
      <c r="I58" s="167">
        <f>SUM(L25)</f>
        <v>538.09529126202756</v>
      </c>
      <c r="J58" s="241"/>
      <c r="K58" s="239"/>
      <c r="L58" s="239"/>
      <c r="M58" s="239"/>
      <c r="N58" s="239"/>
      <c r="O58" s="239"/>
      <c r="P58" s="240"/>
      <c r="Q58" s="240"/>
      <c r="R58" s="239"/>
    </row>
    <row r="59" spans="2:18" s="120" customFormat="1" ht="16.149999999999999" customHeight="1" x14ac:dyDescent="0.2">
      <c r="B59" s="157"/>
      <c r="C59" s="450"/>
      <c r="D59" s="164"/>
      <c r="E59" s="164"/>
      <c r="F59" s="165"/>
      <c r="G59" s="215" t="s">
        <v>2348</v>
      </c>
      <c r="H59" s="216">
        <v>0</v>
      </c>
      <c r="I59" s="210">
        <v>0</v>
      </c>
      <c r="J59" s="238" t="s">
        <v>6398</v>
      </c>
      <c r="K59" s="239"/>
      <c r="L59" s="239"/>
      <c r="M59" s="239"/>
      <c r="N59" s="239"/>
      <c r="O59" s="239"/>
      <c r="P59" s="240"/>
      <c r="Q59" s="240"/>
      <c r="R59" s="239"/>
    </row>
    <row r="60" spans="2:18" s="120" customFormat="1" ht="16.149999999999999" customHeight="1" x14ac:dyDescent="0.2">
      <c r="B60" s="157"/>
      <c r="C60" s="450"/>
      <c r="D60" s="164"/>
      <c r="E60" s="164"/>
      <c r="F60" s="654"/>
      <c r="G60" s="215" t="s">
        <v>2351</v>
      </c>
      <c r="H60" s="216">
        <f>SUM(J26:J35)</f>
        <v>43965.88</v>
      </c>
      <c r="I60" s="167">
        <f>SUM(L26:L35)</f>
        <v>937.43880597014925</v>
      </c>
      <c r="J60" s="239"/>
      <c r="K60" s="238" t="s">
        <v>2854</v>
      </c>
      <c r="L60" s="239"/>
      <c r="M60" s="239"/>
      <c r="N60" s="239"/>
      <c r="O60" s="239"/>
      <c r="P60" s="240"/>
      <c r="Q60" s="240"/>
      <c r="R60" s="239"/>
    </row>
    <row r="61" spans="2:18" s="120" customFormat="1" ht="16.149999999999999" customHeight="1" x14ac:dyDescent="0.2">
      <c r="B61" s="157"/>
      <c r="C61" s="450"/>
      <c r="D61" s="164"/>
      <c r="E61" s="164"/>
      <c r="F61" s="654"/>
      <c r="G61" s="215" t="s">
        <v>2352</v>
      </c>
      <c r="H61" s="216">
        <v>0</v>
      </c>
      <c r="I61" s="214">
        <v>0</v>
      </c>
      <c r="J61" s="239"/>
      <c r="K61" s="239"/>
      <c r="L61" s="239"/>
      <c r="M61" s="239"/>
      <c r="N61" s="239"/>
      <c r="O61" s="239"/>
      <c r="P61" s="240"/>
      <c r="Q61" s="240"/>
      <c r="R61" s="239"/>
    </row>
    <row r="62" spans="2:18" s="120" customFormat="1" ht="16.149999999999999" customHeight="1" x14ac:dyDescent="0.2">
      <c r="B62" s="157"/>
      <c r="C62" s="450"/>
      <c r="D62" s="164"/>
      <c r="E62" s="164"/>
      <c r="F62" s="165"/>
      <c r="G62" s="215" t="s">
        <v>2353</v>
      </c>
      <c r="H62" s="216">
        <f>+J36</f>
        <v>2373</v>
      </c>
      <c r="I62" s="167">
        <f>+L36</f>
        <v>44.959701102298951</v>
      </c>
      <c r="J62" s="238" t="s">
        <v>2855</v>
      </c>
      <c r="K62" s="239"/>
      <c r="L62" s="239"/>
      <c r="M62" s="239"/>
      <c r="N62" s="239"/>
      <c r="O62" s="239"/>
      <c r="P62" s="240"/>
      <c r="Q62" s="240"/>
      <c r="R62" s="239"/>
    </row>
    <row r="63" spans="2:18" s="120" customFormat="1" ht="16.149999999999999" customHeight="1" x14ac:dyDescent="0.25">
      <c r="B63" s="157"/>
      <c r="C63" s="450"/>
      <c r="D63" s="164"/>
      <c r="E63" s="164"/>
      <c r="F63" s="165"/>
      <c r="G63" s="215" t="s">
        <v>2354</v>
      </c>
      <c r="H63" s="217" t="s">
        <v>2349</v>
      </c>
      <c r="I63" s="218" t="s">
        <v>2349</v>
      </c>
      <c r="J63" s="109"/>
      <c r="K63" s="238" t="s">
        <v>2758</v>
      </c>
      <c r="L63" s="239"/>
      <c r="M63" s="239"/>
      <c r="N63" s="239"/>
      <c r="O63" s="239"/>
      <c r="P63" s="159"/>
      <c r="Q63" s="159"/>
    </row>
    <row r="64" spans="2:18" s="120" customFormat="1" ht="16.149999999999999" customHeight="1" x14ac:dyDescent="0.25">
      <c r="B64" s="157"/>
      <c r="C64" s="450"/>
      <c r="D64" s="164"/>
      <c r="E64" s="164"/>
      <c r="F64" s="165"/>
      <c r="G64" s="215" t="s">
        <v>2643</v>
      </c>
      <c r="H64" s="219" t="s">
        <v>2349</v>
      </c>
      <c r="I64" s="220" t="s">
        <v>2349</v>
      </c>
      <c r="J64" s="109"/>
      <c r="K64" s="238"/>
      <c r="L64" s="239"/>
      <c r="M64" s="239"/>
      <c r="N64" s="239"/>
      <c r="O64" s="239"/>
      <c r="P64" s="159"/>
      <c r="Q64" s="159"/>
    </row>
    <row r="65" spans="2:18" s="120" customFormat="1" ht="16.149999999999999" customHeight="1" x14ac:dyDescent="0.2">
      <c r="B65" s="157"/>
      <c r="C65" s="450"/>
      <c r="D65" s="164"/>
      <c r="E65" s="164"/>
      <c r="F65" s="165"/>
      <c r="G65" s="78" t="s">
        <v>2644</v>
      </c>
      <c r="H65" s="221">
        <f>SUM(J37:J38)</f>
        <v>33866</v>
      </c>
      <c r="I65" s="222">
        <f>SUM(L37:L38)</f>
        <v>617.13569295194077</v>
      </c>
      <c r="J65" s="238" t="s">
        <v>4864</v>
      </c>
      <c r="K65" s="238"/>
      <c r="L65" s="239"/>
      <c r="M65" s="239"/>
      <c r="N65" s="239"/>
      <c r="O65" s="239"/>
      <c r="P65" s="159"/>
      <c r="Q65" s="159"/>
    </row>
    <row r="66" spans="2:18" s="120" customFormat="1" ht="19.899999999999999" customHeight="1" x14ac:dyDescent="0.2">
      <c r="B66" s="157"/>
      <c r="C66" s="450"/>
      <c r="D66" s="164"/>
      <c r="E66" s="164"/>
      <c r="F66" s="165"/>
      <c r="G66" s="223" t="s">
        <v>2357</v>
      </c>
      <c r="H66" s="224">
        <f>SUM(H44:H65)</f>
        <v>3663593.21</v>
      </c>
      <c r="I66" s="225">
        <f>SUM(I44:I65)</f>
        <v>109176.2819447849</v>
      </c>
      <c r="J66" s="638" t="s">
        <v>4876</v>
      </c>
      <c r="P66" s="159"/>
      <c r="Q66" s="159"/>
    </row>
    <row r="67" spans="2:18" s="120" customFormat="1" ht="19.899999999999999" customHeight="1" x14ac:dyDescent="0.2">
      <c r="B67" s="157"/>
      <c r="C67" s="450"/>
      <c r="D67" s="164"/>
      <c r="E67" s="164"/>
      <c r="F67" s="165"/>
      <c r="G67" s="226"/>
      <c r="H67" s="227"/>
      <c r="I67" s="227"/>
      <c r="J67" s="637" t="s">
        <v>4865</v>
      </c>
      <c r="R67" s="207"/>
    </row>
    <row r="68" spans="2:18" s="120" customFormat="1" ht="19.899999999999999" customHeight="1" x14ac:dyDescent="0.2">
      <c r="B68" s="157"/>
      <c r="C68" s="450"/>
      <c r="D68" s="164"/>
      <c r="E68" s="164"/>
      <c r="F68" s="165"/>
      <c r="G68" s="226"/>
      <c r="H68" s="227"/>
      <c r="I68" s="227"/>
      <c r="J68" s="637" t="s">
        <v>4877</v>
      </c>
      <c r="R68" s="207"/>
    </row>
    <row r="69" spans="2:18" s="120" customFormat="1" ht="12.75" x14ac:dyDescent="0.2">
      <c r="B69" s="157"/>
      <c r="C69" s="450"/>
      <c r="D69" s="160"/>
      <c r="E69" s="160"/>
      <c r="F69" s="159"/>
      <c r="G69" s="231"/>
      <c r="H69" s="232"/>
      <c r="I69" s="232"/>
      <c r="J69" s="242"/>
      <c r="R69" s="207"/>
    </row>
    <row r="70" spans="2:18" s="120" customFormat="1" ht="12" customHeight="1" x14ac:dyDescent="0.2">
      <c r="B70" s="228"/>
      <c r="C70" s="451"/>
      <c r="D70" s="229"/>
      <c r="E70" s="229"/>
      <c r="F70" s="230"/>
      <c r="G70" s="658"/>
      <c r="J70" s="243"/>
      <c r="K70" s="244"/>
      <c r="L70" s="244"/>
      <c r="M70" s="244"/>
      <c r="N70" s="244"/>
      <c r="O70" s="244"/>
      <c r="P70" s="244"/>
      <c r="Q70" s="244" t="s">
        <v>2048</v>
      </c>
      <c r="R70" s="245"/>
    </row>
    <row r="71" spans="2:18" s="128" customFormat="1" ht="17.25" customHeight="1" x14ac:dyDescent="0.25">
      <c r="B71" s="423" t="s">
        <v>2358</v>
      </c>
      <c r="C71" s="423"/>
      <c r="D71"/>
      <c r="E71"/>
      <c r="F71" s="997" t="s">
        <v>2359</v>
      </c>
      <c r="G71" s="997"/>
      <c r="H71"/>
      <c r="I71"/>
      <c r="J71" s="977" t="s">
        <v>2360</v>
      </c>
      <c r="K71" s="977"/>
      <c r="L71" s="977"/>
      <c r="M71" s="977"/>
    </row>
    <row r="72" spans="2:18" s="120" customFormat="1" ht="15" customHeight="1" x14ac:dyDescent="0.25">
      <c r="B72" s="424"/>
      <c r="C72" s="424"/>
      <c r="D72"/>
      <c r="E72"/>
      <c r="F72" s="373"/>
      <c r="G72" s="373"/>
      <c r="H72"/>
      <c r="I72"/>
      <c r="J72"/>
      <c r="K72"/>
    </row>
    <row r="73" spans="2:18" s="120" customFormat="1" ht="15" customHeight="1" x14ac:dyDescent="0.25">
      <c r="B73" s="419"/>
      <c r="C73" s="419"/>
      <c r="D73"/>
      <c r="E73"/>
      <c r="F73" s="374"/>
      <c r="G73"/>
      <c r="H73"/>
      <c r="I73"/>
      <c r="J73"/>
      <c r="K73"/>
    </row>
    <row r="74" spans="2:18" s="120" customFormat="1" ht="15" customHeight="1" x14ac:dyDescent="0.25">
      <c r="B74" s="425" t="s">
        <v>2361</v>
      </c>
      <c r="C74" s="425"/>
      <c r="D74"/>
      <c r="E74"/>
      <c r="F74" s="665" t="s">
        <v>2362</v>
      </c>
      <c r="G74"/>
      <c r="H74"/>
      <c r="I74"/>
      <c r="J74"/>
      <c r="K74"/>
      <c r="L74"/>
      <c r="M74" s="324"/>
      <c r="N74" s="511"/>
      <c r="O74" s="509"/>
      <c r="P74" s="659"/>
    </row>
    <row r="75" spans="2:18" s="129" customFormat="1" ht="15" customHeight="1" x14ac:dyDescent="0.25">
      <c r="B75" s="671" t="s">
        <v>4880</v>
      </c>
      <c r="C75" s="419"/>
      <c r="D75"/>
      <c r="E75" s="376"/>
      <c r="F75" s="426" t="s">
        <v>4878</v>
      </c>
      <c r="G75"/>
      <c r="H75" s="664" t="s">
        <v>2363</v>
      </c>
      <c r="I75" s="321"/>
      <c r="J75" s="667" t="s">
        <v>5841</v>
      </c>
      <c r="K75" s="667"/>
      <c r="L75" s="669" t="s">
        <v>4871</v>
      </c>
      <c r="M75" s="666"/>
      <c r="N75" s="511"/>
      <c r="O75" s="509"/>
      <c r="P75" s="636"/>
    </row>
    <row r="76" spans="2:18" s="120" customFormat="1" ht="14.25" customHeight="1" x14ac:dyDescent="0.25">
      <c r="B76" s="419" t="s">
        <v>4881</v>
      </c>
      <c r="C76" s="419"/>
      <c r="D76"/>
      <c r="E76" s="377"/>
      <c r="F76" s="427" t="s">
        <v>4879</v>
      </c>
      <c r="G76"/>
      <c r="H76" s="978" t="s">
        <v>2364</v>
      </c>
      <c r="I76" s="978"/>
      <c r="J76" s="118" t="s">
        <v>2645</v>
      </c>
      <c r="K76" s="668"/>
      <c r="L76" s="670" t="s">
        <v>4872</v>
      </c>
      <c r="M76" s="657"/>
      <c r="N76" s="511"/>
      <c r="O76" s="509"/>
      <c r="P76" s="635"/>
    </row>
    <row r="77" spans="2:18" s="120" customFormat="1" x14ac:dyDescent="0.25">
      <c r="B77" s="423" t="s">
        <v>6388</v>
      </c>
      <c r="C77" s="423"/>
      <c r="D77" s="378"/>
      <c r="E77"/>
      <c r="F77"/>
      <c r="G77"/>
      <c r="H77" s="379"/>
      <c r="I77" s="379"/>
      <c r="J77" s="379"/>
      <c r="K77"/>
      <c r="L77"/>
      <c r="M77" s="324"/>
      <c r="N77" s="511"/>
      <c r="O77" s="509"/>
      <c r="P77"/>
      <c r="R77" s="246"/>
    </row>
    <row r="78" spans="2:18" x14ac:dyDescent="0.25">
      <c r="B78" s="419"/>
      <c r="C78" s="419"/>
      <c r="D78"/>
      <c r="E78"/>
      <c r="G78"/>
      <c r="H78"/>
      <c r="I78"/>
      <c r="M78" s="324"/>
      <c r="N78" s="511"/>
      <c r="O78" s="509"/>
    </row>
    <row r="79" spans="2:18" x14ac:dyDescent="0.25">
      <c r="B79" s="419"/>
      <c r="C79" s="419"/>
      <c r="D79"/>
      <c r="E79"/>
      <c r="G79"/>
      <c r="H79"/>
      <c r="I79"/>
      <c r="M79" s="324"/>
      <c r="N79" s="511"/>
      <c r="O79" s="509"/>
    </row>
    <row r="80" spans="2:18" x14ac:dyDescent="0.25">
      <c r="M80" s="117"/>
      <c r="N80" s="991"/>
      <c r="O80" s="991"/>
      <c r="P80" s="992"/>
    </row>
    <row r="81" spans="1:48" x14ac:dyDescent="0.25">
      <c r="H81" s="233"/>
      <c r="M81" s="1"/>
      <c r="N81" s="1"/>
      <c r="O81" s="1"/>
      <c r="P81" s="122"/>
    </row>
    <row r="82" spans="1:48" x14ac:dyDescent="0.25">
      <c r="M82" s="1"/>
      <c r="N82" s="1"/>
      <c r="O82" s="1"/>
      <c r="P82" s="122"/>
    </row>
    <row r="83" spans="1:48" x14ac:dyDescent="0.25">
      <c r="M83" s="1"/>
      <c r="N83" s="114"/>
      <c r="O83" s="114"/>
      <c r="P83" s="123"/>
    </row>
    <row r="84" spans="1:48" x14ac:dyDescent="0.25">
      <c r="M84" s="93"/>
      <c r="N84" s="993"/>
      <c r="O84" s="993"/>
      <c r="P84" s="994"/>
    </row>
    <row r="85" spans="1:48" s="126" customFormat="1" x14ac:dyDescent="0.25">
      <c r="A85"/>
      <c r="B85" s="130"/>
      <c r="C85" s="130"/>
      <c r="D85" s="130"/>
      <c r="E85" s="130"/>
      <c r="F85" s="234"/>
      <c r="H85" s="130"/>
      <c r="M85" s="118"/>
      <c r="N85" s="995"/>
      <c r="O85" s="995"/>
      <c r="P85" s="996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</row>
  </sheetData>
  <mergeCells count="8">
    <mergeCell ref="F40:H40"/>
    <mergeCell ref="G42:I42"/>
    <mergeCell ref="N80:P80"/>
    <mergeCell ref="N84:P84"/>
    <mergeCell ref="N85:P85"/>
    <mergeCell ref="F71:G71"/>
    <mergeCell ref="J71:M71"/>
    <mergeCell ref="H76:I76"/>
  </mergeCells>
  <printOptions horizontalCentered="1" verticalCentered="1"/>
  <pageMargins left="0.31496062992125984" right="0.23622047244094491" top="0.27559055118110237" bottom="0.55118110236220474" header="0.23622047244094491" footer="0.35433070866141736"/>
  <pageSetup paperSize="5" scale="60" orientation="landscape" r:id="rId1"/>
  <headerFooter alignWithMargins="0">
    <oddHeader xml:space="preserve">&amp;R
</oddHeader>
    <oddFooter>&amp;C&amp;"Arial,Negrita"Pág. &amp;P - 4</oddFooter>
  </headerFooter>
  <rowBreaks count="3" manualBreakCount="3">
    <brk id="14" max="18" man="1"/>
    <brk id="28" max="18" man="1"/>
    <brk id="40" max="18" man="1"/>
  </rowBreaks>
  <ignoredErrors>
    <ignoredError sqref="H65 H44:I56 H58:I62" formulaRange="1"/>
    <ignoredError sqref="J39 L37:L39 M37:P37 P39:Q39 M38:P38 L7:L9 J23 L27:L35 L26 L21:L22 L25 L23:L24 L20 L10:L19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3:Y944"/>
  <sheetViews>
    <sheetView topLeftCell="A926" zoomScale="87" zoomScaleNormal="87" workbookViewId="0">
      <pane xSplit="4" topLeftCell="E1" activePane="topRight" state="frozenSplit"/>
      <selection pane="topRight" activeCell="J8" sqref="J8"/>
    </sheetView>
  </sheetViews>
  <sheetFormatPr baseColWidth="10" defaultColWidth="9.140625" defaultRowHeight="12.75" x14ac:dyDescent="0.2"/>
  <cols>
    <col min="1" max="1" width="1.28515625" style="9" customWidth="1"/>
    <col min="2" max="2" width="13.28515625" style="9" customWidth="1"/>
    <col min="3" max="3" width="11.5703125" style="9" customWidth="1"/>
    <col min="4" max="4" width="11.28515625" style="9" customWidth="1"/>
    <col min="5" max="5" width="25.85546875" style="9" customWidth="1"/>
    <col min="6" max="6" width="23.85546875" style="9" customWidth="1"/>
    <col min="7" max="7" width="29.7109375" style="941" customWidth="1"/>
    <col min="8" max="8" width="23.7109375" style="10" customWidth="1"/>
    <col min="9" max="9" width="22.140625" style="10" customWidth="1"/>
    <col min="10" max="10" width="21.140625" style="9" customWidth="1"/>
    <col min="11" max="11" width="7.85546875" style="9" customWidth="1"/>
    <col min="12" max="12" width="18.42578125" style="9" customWidth="1"/>
    <col min="13" max="13" width="9" style="9" customWidth="1"/>
    <col min="14" max="14" width="14.140625" style="9" customWidth="1"/>
    <col min="15" max="15" width="7.7109375" style="9" customWidth="1"/>
    <col min="16" max="16" width="15.85546875" style="9" hidden="1" customWidth="1"/>
    <col min="17" max="17" width="19" style="9" customWidth="1"/>
    <col min="18" max="18" width="21.140625" style="9" customWidth="1"/>
    <col min="19" max="20" width="2.28515625" style="9" customWidth="1"/>
    <col min="21" max="21" width="2.5703125" style="9" customWidth="1"/>
    <col min="22" max="22" width="2.7109375" style="9" customWidth="1"/>
    <col min="23" max="16384" width="9.140625" style="9"/>
  </cols>
  <sheetData>
    <row r="3" spans="2:18" s="1" customFormat="1" ht="25.15" customHeight="1" x14ac:dyDescent="0.3">
      <c r="D3" s="11"/>
      <c r="E3" s="12" t="s">
        <v>2646</v>
      </c>
      <c r="F3" s="13"/>
      <c r="G3" s="918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2:18" s="2" customFormat="1" ht="22.15" customHeight="1" x14ac:dyDescent="0.3">
      <c r="D4" s="11"/>
      <c r="E4" s="14" t="s">
        <v>2856</v>
      </c>
      <c r="F4" s="15"/>
      <c r="G4" s="919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2:18" s="1" customFormat="1" ht="22.15" customHeight="1" x14ac:dyDescent="0.25">
      <c r="D5" s="17"/>
      <c r="E5" s="464" t="s">
        <v>7096</v>
      </c>
      <c r="F5" s="19"/>
      <c r="G5" s="920"/>
      <c r="H5" s="20"/>
      <c r="I5" s="20"/>
      <c r="J5" s="17"/>
      <c r="K5" s="17"/>
      <c r="L5" s="17"/>
      <c r="M5" s="17"/>
      <c r="N5" s="17"/>
      <c r="O5" s="17"/>
      <c r="P5" s="17"/>
      <c r="Q5" s="17"/>
      <c r="R5" s="17"/>
    </row>
    <row r="6" spans="2:18" s="1" customFormat="1" ht="10.15" customHeight="1" x14ac:dyDescent="0.2">
      <c r="D6" s="21"/>
      <c r="E6" s="22"/>
      <c r="F6" s="22"/>
      <c r="G6" s="921"/>
      <c r="H6" s="22"/>
      <c r="I6" s="22"/>
      <c r="J6" s="21"/>
      <c r="K6" s="21"/>
      <c r="L6" s="21"/>
      <c r="M6" s="21"/>
      <c r="N6" s="21"/>
      <c r="O6" s="21"/>
      <c r="P6" s="21"/>
      <c r="Q6" s="21"/>
      <c r="R6" s="21"/>
    </row>
    <row r="7" spans="2:18" s="3" customFormat="1" ht="54" customHeight="1" x14ac:dyDescent="0.2">
      <c r="B7" s="443" t="s">
        <v>4318</v>
      </c>
      <c r="C7" s="443" t="s">
        <v>4319</v>
      </c>
      <c r="D7" s="529" t="s">
        <v>2367</v>
      </c>
      <c r="E7" s="529" t="s">
        <v>4</v>
      </c>
      <c r="F7" s="529" t="s">
        <v>5</v>
      </c>
      <c r="G7" s="529" t="s">
        <v>6</v>
      </c>
      <c r="H7" s="529" t="s">
        <v>2368</v>
      </c>
      <c r="I7" s="530" t="s">
        <v>8</v>
      </c>
      <c r="J7" s="529" t="s">
        <v>9</v>
      </c>
      <c r="K7" s="529" t="s">
        <v>10</v>
      </c>
      <c r="L7" s="529" t="s">
        <v>2857</v>
      </c>
      <c r="M7" s="529" t="s">
        <v>12</v>
      </c>
      <c r="N7" s="529" t="s">
        <v>2858</v>
      </c>
      <c r="O7" s="529" t="s">
        <v>14</v>
      </c>
      <c r="P7" s="529" t="s">
        <v>15</v>
      </c>
      <c r="Q7" s="529" t="s">
        <v>15</v>
      </c>
      <c r="R7" s="531" t="s">
        <v>16</v>
      </c>
    </row>
    <row r="8" spans="2:18" s="4" customFormat="1" ht="91.5" customHeight="1" x14ac:dyDescent="0.25">
      <c r="B8" s="24">
        <v>42265</v>
      </c>
      <c r="C8" s="24" t="s">
        <v>2349</v>
      </c>
      <c r="D8" s="25" t="s">
        <v>2859</v>
      </c>
      <c r="E8" s="25" t="s">
        <v>2860</v>
      </c>
      <c r="F8" s="25" t="s">
        <v>2861</v>
      </c>
      <c r="G8" s="813" t="s">
        <v>2862</v>
      </c>
      <c r="H8" s="26" t="s">
        <v>2863</v>
      </c>
      <c r="I8" s="25" t="s">
        <v>19</v>
      </c>
      <c r="J8" s="32">
        <v>42530</v>
      </c>
      <c r="K8" s="32">
        <v>45.140799999999999</v>
      </c>
      <c r="L8" s="33">
        <f t="shared" ref="L8:L28" si="0">+J8/K8</f>
        <v>942.16318718321349</v>
      </c>
      <c r="M8" s="25">
        <v>120</v>
      </c>
      <c r="N8" s="34">
        <f>IF(AND(J8&lt;&gt;0,M8&lt;&gt;0),J8/M8,0)</f>
        <v>354.41666666666669</v>
      </c>
      <c r="O8" s="35">
        <f ca="1">IF(B8&lt;&gt;0,(ROUND((NOW()-B8)/30,0)),0)</f>
        <v>119</v>
      </c>
      <c r="P8" s="36">
        <f ca="1">IF(OR(J8=0,M8=0,O8=0),0,J8-(N8*O8))</f>
        <v>354.41666666666424</v>
      </c>
      <c r="Q8" s="36">
        <f ca="1">IF(P8&lt;1,1,P8)</f>
        <v>354.41666666666424</v>
      </c>
      <c r="R8" s="532" t="s">
        <v>1327</v>
      </c>
    </row>
    <row r="9" spans="2:18" s="4" customFormat="1" ht="33" customHeight="1" x14ac:dyDescent="0.25">
      <c r="B9" s="24">
        <v>42275</v>
      </c>
      <c r="C9" s="24" t="s">
        <v>2349</v>
      </c>
      <c r="D9" s="25" t="s">
        <v>2864</v>
      </c>
      <c r="E9" s="25" t="s">
        <v>2865</v>
      </c>
      <c r="F9" s="25" t="s">
        <v>1168</v>
      </c>
      <c r="G9" s="813" t="s">
        <v>5521</v>
      </c>
      <c r="H9" s="26" t="s">
        <v>5522</v>
      </c>
      <c r="I9" s="25" t="s">
        <v>19</v>
      </c>
      <c r="J9" s="32">
        <v>25224.41</v>
      </c>
      <c r="K9" s="32">
        <v>45.1723</v>
      </c>
      <c r="L9" s="33">
        <f t="shared" si="0"/>
        <v>558.40437613316124</v>
      </c>
      <c r="M9" s="25">
        <v>120</v>
      </c>
      <c r="N9" s="34">
        <f>IF(AND(J9&lt;&gt;0,M9&lt;&gt;0),J9/M9,0)</f>
        <v>210.20341666666667</v>
      </c>
      <c r="O9" s="35">
        <f ca="1">IF(B9&lt;&gt;0,(ROUND((NOW()-B9)/30,0)),0)</f>
        <v>119</v>
      </c>
      <c r="P9" s="36">
        <f t="shared" ref="P9:P72" ca="1" si="1">IF(OR(J9=0,M9=0,O9=0),0,J9-(N9*O9))</f>
        <v>210.20341666666718</v>
      </c>
      <c r="Q9" s="36">
        <f t="shared" ref="Q9:Q67" ca="1" si="2">IF(P9&lt;1,1,P9)</f>
        <v>210.20341666666718</v>
      </c>
      <c r="R9" s="532" t="s">
        <v>1170</v>
      </c>
    </row>
    <row r="10" spans="2:18" s="4" customFormat="1" ht="51.75" customHeight="1" x14ac:dyDescent="0.25">
      <c r="B10" s="24">
        <v>42275</v>
      </c>
      <c r="C10" s="24" t="s">
        <v>2349</v>
      </c>
      <c r="D10" s="25" t="s">
        <v>2866</v>
      </c>
      <c r="E10" s="25" t="s">
        <v>2867</v>
      </c>
      <c r="F10" s="25" t="s">
        <v>2868</v>
      </c>
      <c r="G10" s="813" t="s">
        <v>2869</v>
      </c>
      <c r="H10" s="25" t="s">
        <v>2870</v>
      </c>
      <c r="I10" s="25" t="s">
        <v>19</v>
      </c>
      <c r="J10" s="32">
        <v>27376</v>
      </c>
      <c r="K10" s="32">
        <v>45.1723</v>
      </c>
      <c r="L10" s="33">
        <f t="shared" si="0"/>
        <v>606.03511443960122</v>
      </c>
      <c r="M10" s="25">
        <v>120</v>
      </c>
      <c r="N10" s="34">
        <f t="shared" ref="N10:N28" si="3">IF(AND(J10&lt;&gt;0,M10&lt;&gt;0),J10/M10,0)</f>
        <v>228.13333333333333</v>
      </c>
      <c r="O10" s="35">
        <f t="shared" ref="O10:O28" ca="1" si="4">IF(B10&lt;&gt;0,(ROUND((NOW()-B10)/30,0)),0)</f>
        <v>119</v>
      </c>
      <c r="P10" s="36">
        <f t="shared" ca="1" si="1"/>
        <v>228.13333333333503</v>
      </c>
      <c r="Q10" s="36">
        <f t="shared" ca="1" si="2"/>
        <v>228.13333333333503</v>
      </c>
      <c r="R10" s="532" t="s">
        <v>2871</v>
      </c>
    </row>
    <row r="11" spans="2:18" s="4" customFormat="1" ht="52.5" customHeight="1" x14ac:dyDescent="0.25">
      <c r="B11" s="24">
        <v>42277</v>
      </c>
      <c r="C11" s="24" t="s">
        <v>2349</v>
      </c>
      <c r="D11" s="25" t="s">
        <v>2872</v>
      </c>
      <c r="E11" s="25" t="s">
        <v>2873</v>
      </c>
      <c r="F11" s="25" t="s">
        <v>2874</v>
      </c>
      <c r="G11" s="813" t="s">
        <v>28</v>
      </c>
      <c r="H11" s="25" t="s">
        <v>2875</v>
      </c>
      <c r="I11" s="25" t="s">
        <v>19</v>
      </c>
      <c r="J11" s="32">
        <f>7650+1377</f>
        <v>9027</v>
      </c>
      <c r="K11" s="32">
        <v>45.173999999999999</v>
      </c>
      <c r="L11" s="33">
        <f t="shared" si="0"/>
        <v>199.82733430734493</v>
      </c>
      <c r="M11" s="25">
        <v>120</v>
      </c>
      <c r="N11" s="34">
        <f t="shared" si="3"/>
        <v>75.224999999999994</v>
      </c>
      <c r="O11" s="35">
        <f t="shared" ca="1" si="4"/>
        <v>119</v>
      </c>
      <c r="P11" s="36">
        <f t="shared" ca="1" si="1"/>
        <v>75.225000000000364</v>
      </c>
      <c r="Q11" s="36">
        <f t="shared" ca="1" si="2"/>
        <v>75.225000000000364</v>
      </c>
      <c r="R11" s="532" t="s">
        <v>2652</v>
      </c>
    </row>
    <row r="12" spans="2:18" s="4" customFormat="1" ht="74.25" customHeight="1" x14ac:dyDescent="0.25">
      <c r="B12" s="24">
        <v>42277</v>
      </c>
      <c r="C12" s="24" t="s">
        <v>2349</v>
      </c>
      <c r="D12" s="25" t="s">
        <v>2872</v>
      </c>
      <c r="E12" s="25" t="s">
        <v>2876</v>
      </c>
      <c r="F12" s="25" t="s">
        <v>2877</v>
      </c>
      <c r="G12" s="813" t="s">
        <v>28</v>
      </c>
      <c r="H12" s="25" t="s">
        <v>2878</v>
      </c>
      <c r="I12" s="25" t="s">
        <v>19</v>
      </c>
      <c r="J12" s="32">
        <f>33220+5979.6</f>
        <v>39199.599999999999</v>
      </c>
      <c r="K12" s="32">
        <v>45.173999999999999</v>
      </c>
      <c r="L12" s="33">
        <f t="shared" si="0"/>
        <v>867.74693407712402</v>
      </c>
      <c r="M12" s="25">
        <v>120</v>
      </c>
      <c r="N12" s="34">
        <f t="shared" si="3"/>
        <v>326.6633333333333</v>
      </c>
      <c r="O12" s="35">
        <f t="shared" ca="1" si="4"/>
        <v>119</v>
      </c>
      <c r="P12" s="36">
        <f t="shared" ca="1" si="1"/>
        <v>326.6633333333375</v>
      </c>
      <c r="Q12" s="36">
        <f t="shared" ca="1" si="2"/>
        <v>326.6633333333375</v>
      </c>
      <c r="R12" s="532" t="s">
        <v>2652</v>
      </c>
    </row>
    <row r="13" spans="2:18" s="4" customFormat="1" ht="39" customHeight="1" x14ac:dyDescent="0.25">
      <c r="B13" s="24">
        <v>42277</v>
      </c>
      <c r="C13" s="24" t="s">
        <v>2349</v>
      </c>
      <c r="D13" s="25" t="s">
        <v>2872</v>
      </c>
      <c r="E13" s="25" t="s">
        <v>2880</v>
      </c>
      <c r="F13" s="25" t="s">
        <v>2879</v>
      </c>
      <c r="G13" s="813" t="s">
        <v>28</v>
      </c>
      <c r="H13" s="25" t="s">
        <v>2881</v>
      </c>
      <c r="I13" s="25" t="s">
        <v>19</v>
      </c>
      <c r="J13" s="32">
        <f>8883+1598.94</f>
        <v>10481.94</v>
      </c>
      <c r="K13" s="32">
        <v>45.173999999999999</v>
      </c>
      <c r="L13" s="33">
        <f t="shared" si="0"/>
        <v>232.03479877805819</v>
      </c>
      <c r="M13" s="25">
        <v>120</v>
      </c>
      <c r="N13" s="34">
        <f t="shared" si="3"/>
        <v>87.349500000000006</v>
      </c>
      <c r="O13" s="35">
        <f t="shared" ca="1" si="4"/>
        <v>119</v>
      </c>
      <c r="P13" s="36">
        <f t="shared" ca="1" si="1"/>
        <v>87.349500000000262</v>
      </c>
      <c r="Q13" s="36">
        <f t="shared" ca="1" si="2"/>
        <v>87.349500000000262</v>
      </c>
      <c r="R13" s="532" t="s">
        <v>2652</v>
      </c>
    </row>
    <row r="14" spans="2:18" s="4" customFormat="1" ht="92.25" customHeight="1" x14ac:dyDescent="0.25">
      <c r="B14" s="24">
        <v>42277</v>
      </c>
      <c r="C14" s="24" t="s">
        <v>2349</v>
      </c>
      <c r="D14" s="25" t="s">
        <v>2882</v>
      </c>
      <c r="E14" s="25" t="s">
        <v>2883</v>
      </c>
      <c r="F14" s="25" t="s">
        <v>2884</v>
      </c>
      <c r="G14" s="813" t="s">
        <v>2885</v>
      </c>
      <c r="H14" s="26" t="s">
        <v>60</v>
      </c>
      <c r="I14" s="25" t="s">
        <v>19</v>
      </c>
      <c r="J14" s="32">
        <f>103840+47790</f>
        <v>151630</v>
      </c>
      <c r="K14" s="32">
        <v>45.173999999999999</v>
      </c>
      <c r="L14" s="33">
        <f t="shared" si="0"/>
        <v>3356.5767919599771</v>
      </c>
      <c r="M14" s="25">
        <v>120</v>
      </c>
      <c r="N14" s="34">
        <f t="shared" si="3"/>
        <v>1263.5833333333333</v>
      </c>
      <c r="O14" s="35">
        <f t="shared" ca="1" si="4"/>
        <v>119</v>
      </c>
      <c r="P14" s="36">
        <f t="shared" ca="1" si="1"/>
        <v>1263.583333333343</v>
      </c>
      <c r="Q14" s="36">
        <f t="shared" ca="1" si="2"/>
        <v>1263.583333333343</v>
      </c>
      <c r="R14" s="532" t="s">
        <v>2886</v>
      </c>
    </row>
    <row r="15" spans="2:18" s="4" customFormat="1" ht="50.25" customHeight="1" x14ac:dyDescent="0.25">
      <c r="B15" s="24">
        <v>42277</v>
      </c>
      <c r="C15" s="24" t="s">
        <v>2349</v>
      </c>
      <c r="D15" s="25" t="s">
        <v>2882</v>
      </c>
      <c r="E15" s="25" t="s">
        <v>2887</v>
      </c>
      <c r="F15" s="25" t="s">
        <v>2888</v>
      </c>
      <c r="G15" s="813" t="s">
        <v>28</v>
      </c>
      <c r="H15" s="26" t="s">
        <v>60</v>
      </c>
      <c r="I15" s="25" t="s">
        <v>19</v>
      </c>
      <c r="J15" s="32">
        <v>172638.72</v>
      </c>
      <c r="K15" s="32">
        <v>45.173999999999999</v>
      </c>
      <c r="L15" s="33">
        <f t="shared" si="0"/>
        <v>3821.6389958825876</v>
      </c>
      <c r="M15" s="25">
        <v>120</v>
      </c>
      <c r="N15" s="34">
        <f t="shared" si="3"/>
        <v>1438.6559999999999</v>
      </c>
      <c r="O15" s="35">
        <f t="shared" ca="1" si="4"/>
        <v>119</v>
      </c>
      <c r="P15" s="36">
        <f t="shared" ca="1" si="1"/>
        <v>1438.6560000000172</v>
      </c>
      <c r="Q15" s="36">
        <f t="shared" ca="1" si="2"/>
        <v>1438.6560000000172</v>
      </c>
      <c r="R15" s="532" t="s">
        <v>2886</v>
      </c>
    </row>
    <row r="16" spans="2:18" s="4" customFormat="1" ht="50.25" customHeight="1" x14ac:dyDescent="0.25">
      <c r="B16" s="24">
        <v>42277</v>
      </c>
      <c r="C16" s="24" t="s">
        <v>2349</v>
      </c>
      <c r="D16" s="25" t="s">
        <v>2882</v>
      </c>
      <c r="E16" s="25" t="s">
        <v>2889</v>
      </c>
      <c r="F16" s="25" t="s">
        <v>2890</v>
      </c>
      <c r="G16" s="813" t="s">
        <v>28</v>
      </c>
      <c r="H16" s="26" t="s">
        <v>60</v>
      </c>
      <c r="I16" s="25" t="s">
        <v>19</v>
      </c>
      <c r="J16" s="32">
        <v>236118</v>
      </c>
      <c r="K16" s="32">
        <v>45.173999999999999</v>
      </c>
      <c r="L16" s="33">
        <f t="shared" si="0"/>
        <v>5226.8561561960423</v>
      </c>
      <c r="M16" s="25">
        <v>120</v>
      </c>
      <c r="N16" s="34">
        <f t="shared" si="3"/>
        <v>1967.65</v>
      </c>
      <c r="O16" s="35">
        <f t="shared" ca="1" si="4"/>
        <v>119</v>
      </c>
      <c r="P16" s="36">
        <f t="shared" ca="1" si="1"/>
        <v>1967.6499999999942</v>
      </c>
      <c r="Q16" s="36">
        <f t="shared" ca="1" si="2"/>
        <v>1967.6499999999942</v>
      </c>
      <c r="R16" s="532" t="s">
        <v>2886</v>
      </c>
    </row>
    <row r="17" spans="2:18" s="4" customFormat="1" ht="50.25" customHeight="1" x14ac:dyDescent="0.25">
      <c r="B17" s="24">
        <v>42341</v>
      </c>
      <c r="C17" s="24" t="s">
        <v>2349</v>
      </c>
      <c r="D17" s="25" t="s">
        <v>2891</v>
      </c>
      <c r="E17" s="25" t="s">
        <v>2892</v>
      </c>
      <c r="F17" s="25" t="s">
        <v>2893</v>
      </c>
      <c r="G17" s="813" t="s">
        <v>2894</v>
      </c>
      <c r="H17" s="26" t="s">
        <v>2895</v>
      </c>
      <c r="I17" s="25" t="s">
        <v>19</v>
      </c>
      <c r="J17" s="32">
        <f>37944.92+6830.09</f>
        <v>44775.009999999995</v>
      </c>
      <c r="K17" s="32">
        <v>45.3416</v>
      </c>
      <c r="L17" s="33">
        <f t="shared" si="0"/>
        <v>987.50396986431872</v>
      </c>
      <c r="M17" s="25">
        <v>120</v>
      </c>
      <c r="N17" s="34">
        <f t="shared" si="3"/>
        <v>373.12508333333329</v>
      </c>
      <c r="O17" s="35">
        <f t="shared" ca="1" si="4"/>
        <v>117</v>
      </c>
      <c r="P17" s="36">
        <f t="shared" ca="1" si="1"/>
        <v>1119.3752499999973</v>
      </c>
      <c r="Q17" s="36">
        <f t="shared" ca="1" si="2"/>
        <v>1119.3752499999973</v>
      </c>
      <c r="R17" s="532" t="s">
        <v>1327</v>
      </c>
    </row>
    <row r="18" spans="2:18" s="4" customFormat="1" ht="39.75" customHeight="1" x14ac:dyDescent="0.25">
      <c r="B18" s="24">
        <v>42341</v>
      </c>
      <c r="C18" s="24" t="s">
        <v>2349</v>
      </c>
      <c r="D18" s="25" t="s">
        <v>2891</v>
      </c>
      <c r="E18" s="25" t="s">
        <v>2896</v>
      </c>
      <c r="F18" s="25" t="s">
        <v>2893</v>
      </c>
      <c r="G18" s="813" t="s">
        <v>2897</v>
      </c>
      <c r="H18" s="26" t="s">
        <v>2895</v>
      </c>
      <c r="I18" s="25" t="s">
        <v>19</v>
      </c>
      <c r="J18" s="32">
        <f>37944.92+6830.08</f>
        <v>44775</v>
      </c>
      <c r="K18" s="32">
        <v>45.3416</v>
      </c>
      <c r="L18" s="33">
        <f t="shared" si="0"/>
        <v>987.5037493163012</v>
      </c>
      <c r="M18" s="25">
        <v>120</v>
      </c>
      <c r="N18" s="34">
        <f t="shared" si="3"/>
        <v>373.125</v>
      </c>
      <c r="O18" s="35">
        <f t="shared" ca="1" si="4"/>
        <v>117</v>
      </c>
      <c r="P18" s="36">
        <f t="shared" ca="1" si="1"/>
        <v>1119.375</v>
      </c>
      <c r="Q18" s="36">
        <f t="shared" ca="1" si="2"/>
        <v>1119.375</v>
      </c>
      <c r="R18" s="532" t="s">
        <v>1327</v>
      </c>
    </row>
    <row r="19" spans="2:18" s="4" customFormat="1" ht="45.75" customHeight="1" x14ac:dyDescent="0.25">
      <c r="B19" s="24">
        <v>42341</v>
      </c>
      <c r="C19" s="24" t="s">
        <v>2349</v>
      </c>
      <c r="D19" s="25" t="s">
        <v>2898</v>
      </c>
      <c r="E19" s="25" t="s">
        <v>2899</v>
      </c>
      <c r="F19" s="25" t="s">
        <v>2900</v>
      </c>
      <c r="G19" s="813" t="s">
        <v>2901</v>
      </c>
      <c r="H19" s="26" t="s">
        <v>2902</v>
      </c>
      <c r="I19" s="25" t="s">
        <v>19</v>
      </c>
      <c r="J19" s="32">
        <v>59100.22</v>
      </c>
      <c r="K19" s="32">
        <v>45.3416</v>
      </c>
      <c r="L19" s="33">
        <f t="shared" si="0"/>
        <v>1303.443636748593</v>
      </c>
      <c r="M19" s="25">
        <v>120</v>
      </c>
      <c r="N19" s="34">
        <f t="shared" si="3"/>
        <v>492.50183333333337</v>
      </c>
      <c r="O19" s="35">
        <f t="shared" ca="1" si="4"/>
        <v>117</v>
      </c>
      <c r="P19" s="36">
        <f t="shared" ca="1" si="1"/>
        <v>1477.5054999999993</v>
      </c>
      <c r="Q19" s="36">
        <f t="shared" ca="1" si="2"/>
        <v>1477.5054999999993</v>
      </c>
      <c r="R19" s="532" t="s">
        <v>61</v>
      </c>
    </row>
    <row r="20" spans="2:18" s="4" customFormat="1" ht="45" customHeight="1" x14ac:dyDescent="0.25">
      <c r="B20" s="24">
        <v>42342</v>
      </c>
      <c r="C20" s="24" t="s">
        <v>2349</v>
      </c>
      <c r="D20" s="25" t="s">
        <v>2903</v>
      </c>
      <c r="E20" s="25" t="s">
        <v>2905</v>
      </c>
      <c r="F20" s="25" t="s">
        <v>2906</v>
      </c>
      <c r="G20" s="813" t="s">
        <v>2907</v>
      </c>
      <c r="H20" s="26" t="s">
        <v>60</v>
      </c>
      <c r="I20" s="25" t="s">
        <v>19</v>
      </c>
      <c r="J20" s="32">
        <v>54412.18</v>
      </c>
      <c r="K20" s="32">
        <v>45.346899999999998</v>
      </c>
      <c r="L20" s="33">
        <f t="shared" si="0"/>
        <v>1199.9095858812841</v>
      </c>
      <c r="M20" s="25">
        <v>120</v>
      </c>
      <c r="N20" s="34">
        <f t="shared" si="3"/>
        <v>453.43483333333336</v>
      </c>
      <c r="O20" s="35">
        <f t="shared" ca="1" si="4"/>
        <v>117</v>
      </c>
      <c r="P20" s="36">
        <f t="shared" ca="1" si="1"/>
        <v>1360.3044999999984</v>
      </c>
      <c r="Q20" s="36">
        <f t="shared" ca="1" si="2"/>
        <v>1360.3044999999984</v>
      </c>
      <c r="R20" s="532" t="s">
        <v>2904</v>
      </c>
    </row>
    <row r="21" spans="2:18" s="4" customFormat="1" ht="41.25" customHeight="1" x14ac:dyDescent="0.25">
      <c r="B21" s="24">
        <v>42342</v>
      </c>
      <c r="C21" s="24" t="s">
        <v>2349</v>
      </c>
      <c r="D21" s="25" t="s">
        <v>2908</v>
      </c>
      <c r="E21" s="25" t="s">
        <v>2909</v>
      </c>
      <c r="F21" s="25" t="s">
        <v>2910</v>
      </c>
      <c r="G21" s="813" t="s">
        <v>2911</v>
      </c>
      <c r="H21" s="25" t="s">
        <v>2912</v>
      </c>
      <c r="I21" s="25" t="s">
        <v>19</v>
      </c>
      <c r="J21" s="32">
        <v>10897.6</v>
      </c>
      <c r="K21" s="32">
        <v>45.346899999999998</v>
      </c>
      <c r="L21" s="33">
        <f t="shared" si="0"/>
        <v>240.31631710216135</v>
      </c>
      <c r="M21" s="25">
        <v>120</v>
      </c>
      <c r="N21" s="34">
        <f t="shared" si="3"/>
        <v>90.813333333333333</v>
      </c>
      <c r="O21" s="35">
        <f t="shared" ca="1" si="4"/>
        <v>117</v>
      </c>
      <c r="P21" s="36">
        <f t="shared" ca="1" si="1"/>
        <v>272.44000000000051</v>
      </c>
      <c r="Q21" s="36">
        <f t="shared" ca="1" si="2"/>
        <v>272.44000000000051</v>
      </c>
      <c r="R21" s="532" t="s">
        <v>2913</v>
      </c>
    </row>
    <row r="22" spans="2:18" s="4" customFormat="1" ht="42" customHeight="1" x14ac:dyDescent="0.25">
      <c r="B22" s="24">
        <v>42359</v>
      </c>
      <c r="C22" s="24" t="s">
        <v>2349</v>
      </c>
      <c r="D22" s="25" t="s">
        <v>2914</v>
      </c>
      <c r="E22" s="25" t="s">
        <v>2915</v>
      </c>
      <c r="F22" s="25" t="s">
        <v>2662</v>
      </c>
      <c r="G22" s="813" t="s">
        <v>28</v>
      </c>
      <c r="H22" s="25" t="s">
        <v>204</v>
      </c>
      <c r="I22" s="25" t="s">
        <v>19</v>
      </c>
      <c r="J22" s="32">
        <f>9950+1791</f>
        <v>11741</v>
      </c>
      <c r="K22" s="32">
        <v>45.481699999999996</v>
      </c>
      <c r="L22" s="33">
        <f t="shared" si="0"/>
        <v>258.14778251472575</v>
      </c>
      <c r="M22" s="25">
        <v>120</v>
      </c>
      <c r="N22" s="34">
        <f t="shared" si="3"/>
        <v>97.841666666666669</v>
      </c>
      <c r="O22" s="35">
        <f t="shared" ca="1" si="4"/>
        <v>116</v>
      </c>
      <c r="P22" s="36">
        <f t="shared" ca="1" si="1"/>
        <v>391.36666666666679</v>
      </c>
      <c r="Q22" s="36">
        <f t="shared" ca="1" si="2"/>
        <v>391.36666666666679</v>
      </c>
      <c r="R22" s="532" t="s">
        <v>2652</v>
      </c>
    </row>
    <row r="23" spans="2:18" s="4" customFormat="1" ht="39.75" customHeight="1" x14ac:dyDescent="0.25">
      <c r="B23" s="24">
        <v>42359</v>
      </c>
      <c r="C23" s="24" t="s">
        <v>2349</v>
      </c>
      <c r="D23" s="25" t="s">
        <v>2914</v>
      </c>
      <c r="E23" s="25" t="s">
        <v>2917</v>
      </c>
      <c r="F23" s="25" t="s">
        <v>2918</v>
      </c>
      <c r="G23" s="813" t="s">
        <v>28</v>
      </c>
      <c r="H23" s="26" t="s">
        <v>2916</v>
      </c>
      <c r="I23" s="25" t="s">
        <v>19</v>
      </c>
      <c r="J23" s="32">
        <f>3209+577.62</f>
        <v>3786.62</v>
      </c>
      <c r="K23" s="32">
        <v>45.481699999999996</v>
      </c>
      <c r="L23" s="33">
        <f t="shared" si="0"/>
        <v>83.255902923593453</v>
      </c>
      <c r="M23" s="25">
        <v>120</v>
      </c>
      <c r="N23" s="34">
        <f t="shared" si="3"/>
        <v>31.555166666666665</v>
      </c>
      <c r="O23" s="35">
        <f t="shared" ca="1" si="4"/>
        <v>116</v>
      </c>
      <c r="P23" s="36">
        <f t="shared" ca="1" si="1"/>
        <v>126.2206666666666</v>
      </c>
      <c r="Q23" s="36">
        <f t="shared" ca="1" si="2"/>
        <v>126.2206666666666</v>
      </c>
      <c r="R23" s="532" t="s">
        <v>2652</v>
      </c>
    </row>
    <row r="24" spans="2:18" s="4" customFormat="1" ht="40.5" customHeight="1" x14ac:dyDescent="0.25">
      <c r="B24" s="24">
        <v>42359</v>
      </c>
      <c r="C24" s="24" t="s">
        <v>2349</v>
      </c>
      <c r="D24" s="25" t="s">
        <v>2914</v>
      </c>
      <c r="E24" s="25" t="s">
        <v>2919</v>
      </c>
      <c r="F24" s="25" t="s">
        <v>2918</v>
      </c>
      <c r="G24" s="813" t="s">
        <v>28</v>
      </c>
      <c r="H24" s="26" t="s">
        <v>2916</v>
      </c>
      <c r="I24" s="25" t="s">
        <v>19</v>
      </c>
      <c r="J24" s="32">
        <f>3209+577.62</f>
        <v>3786.62</v>
      </c>
      <c r="K24" s="32">
        <v>45.481699999999996</v>
      </c>
      <c r="L24" s="33">
        <f t="shared" si="0"/>
        <v>83.255902923593453</v>
      </c>
      <c r="M24" s="25">
        <v>120</v>
      </c>
      <c r="N24" s="34">
        <f t="shared" si="3"/>
        <v>31.555166666666665</v>
      </c>
      <c r="O24" s="35">
        <f t="shared" ca="1" si="4"/>
        <v>116</v>
      </c>
      <c r="P24" s="36">
        <f t="shared" ca="1" si="1"/>
        <v>126.2206666666666</v>
      </c>
      <c r="Q24" s="36">
        <f t="shared" ca="1" si="2"/>
        <v>126.2206666666666</v>
      </c>
      <c r="R24" s="532" t="s">
        <v>2652</v>
      </c>
    </row>
    <row r="25" spans="2:18" s="4" customFormat="1" ht="48.75" customHeight="1" x14ac:dyDescent="0.25">
      <c r="B25" s="24">
        <v>42359</v>
      </c>
      <c r="C25" s="24" t="s">
        <v>2349</v>
      </c>
      <c r="D25" s="25" t="s">
        <v>2914</v>
      </c>
      <c r="E25" s="25" t="s">
        <v>2920</v>
      </c>
      <c r="F25" s="25" t="s">
        <v>2921</v>
      </c>
      <c r="G25" s="813" t="s">
        <v>28</v>
      </c>
      <c r="H25" s="25" t="s">
        <v>2922</v>
      </c>
      <c r="I25" s="25" t="s">
        <v>19</v>
      </c>
      <c r="J25" s="32">
        <f>4760+856.8</f>
        <v>5616.8</v>
      </c>
      <c r="K25" s="32">
        <v>45.481699999999996</v>
      </c>
      <c r="L25" s="33">
        <f t="shared" si="0"/>
        <v>123.49582359498437</v>
      </c>
      <c r="M25" s="25">
        <v>120</v>
      </c>
      <c r="N25" s="34">
        <f t="shared" si="3"/>
        <v>46.806666666666665</v>
      </c>
      <c r="O25" s="35">
        <f t="shared" ca="1" si="4"/>
        <v>116</v>
      </c>
      <c r="P25" s="36">
        <f t="shared" ca="1" si="1"/>
        <v>187.22666666666737</v>
      </c>
      <c r="Q25" s="36">
        <f t="shared" ca="1" si="2"/>
        <v>187.22666666666737</v>
      </c>
      <c r="R25" s="532" t="s">
        <v>2652</v>
      </c>
    </row>
    <row r="26" spans="2:18" s="5" customFormat="1" ht="38.25" x14ac:dyDescent="0.25">
      <c r="B26" s="27">
        <v>42949</v>
      </c>
      <c r="C26" s="24" t="s">
        <v>2349</v>
      </c>
      <c r="D26" s="26" t="s">
        <v>2923</v>
      </c>
      <c r="E26" s="26" t="s">
        <v>2924</v>
      </c>
      <c r="F26" s="26" t="s">
        <v>2925</v>
      </c>
      <c r="G26" s="29" t="s">
        <v>2926</v>
      </c>
      <c r="H26" s="25" t="s">
        <v>2927</v>
      </c>
      <c r="I26" s="26" t="s">
        <v>19</v>
      </c>
      <c r="J26" s="32">
        <f>9860+1774.8</f>
        <v>11634.8</v>
      </c>
      <c r="K26" s="32">
        <v>47.436900000000001</v>
      </c>
      <c r="L26" s="33">
        <f t="shared" si="0"/>
        <v>245.26897836915984</v>
      </c>
      <c r="M26" s="26">
        <v>60</v>
      </c>
      <c r="N26" s="37">
        <f t="shared" si="3"/>
        <v>193.91333333333333</v>
      </c>
      <c r="O26" s="38">
        <f t="shared" ca="1" si="4"/>
        <v>97</v>
      </c>
      <c r="P26" s="36">
        <f t="shared" ca="1" si="1"/>
        <v>-7174.7933333333349</v>
      </c>
      <c r="Q26" s="36">
        <f t="shared" ca="1" si="2"/>
        <v>1</v>
      </c>
      <c r="R26" s="49" t="s">
        <v>2652</v>
      </c>
    </row>
    <row r="27" spans="2:18" s="5" customFormat="1" ht="39" customHeight="1" x14ac:dyDescent="0.25">
      <c r="B27" s="27">
        <v>42949</v>
      </c>
      <c r="C27" s="24" t="s">
        <v>2349</v>
      </c>
      <c r="D27" s="26" t="s">
        <v>2928</v>
      </c>
      <c r="E27" s="26" t="s">
        <v>2929</v>
      </c>
      <c r="F27" s="26" t="s">
        <v>2930</v>
      </c>
      <c r="G27" s="29" t="s">
        <v>2931</v>
      </c>
      <c r="H27" s="25" t="s">
        <v>4355</v>
      </c>
      <c r="I27" s="26" t="s">
        <v>19</v>
      </c>
      <c r="J27" s="32">
        <v>29252.85</v>
      </c>
      <c r="K27" s="32">
        <v>47.436900000000001</v>
      </c>
      <c r="L27" s="33">
        <f t="shared" si="0"/>
        <v>616.66866932704283</v>
      </c>
      <c r="M27" s="26">
        <v>36</v>
      </c>
      <c r="N27" s="37">
        <f t="shared" si="3"/>
        <v>812.57916666666665</v>
      </c>
      <c r="O27" s="38">
        <f t="shared" ca="1" si="4"/>
        <v>97</v>
      </c>
      <c r="P27" s="36">
        <f t="shared" ca="1" si="1"/>
        <v>-49567.32916666667</v>
      </c>
      <c r="Q27" s="36">
        <f t="shared" ca="1" si="2"/>
        <v>1</v>
      </c>
      <c r="R27" s="49" t="s">
        <v>2745</v>
      </c>
    </row>
    <row r="28" spans="2:18" s="5" customFormat="1" ht="140.25" customHeight="1" x14ac:dyDescent="0.25">
      <c r="B28" s="27">
        <v>42972</v>
      </c>
      <c r="C28" s="24" t="s">
        <v>2349</v>
      </c>
      <c r="D28" s="26" t="s">
        <v>2932</v>
      </c>
      <c r="E28" s="26" t="s">
        <v>2933</v>
      </c>
      <c r="F28" s="26" t="s">
        <v>2934</v>
      </c>
      <c r="G28" s="29">
        <v>2541936</v>
      </c>
      <c r="H28" s="26" t="s">
        <v>2935</v>
      </c>
      <c r="I28" s="26" t="s">
        <v>19</v>
      </c>
      <c r="J28" s="32">
        <f>55910+5920+2670+4392+9265+14068.26+2040</f>
        <v>94265.26</v>
      </c>
      <c r="K28" s="32">
        <v>47.500900000000001</v>
      </c>
      <c r="L28" s="33">
        <f t="shared" si="0"/>
        <v>1984.4941885311646</v>
      </c>
      <c r="M28" s="26">
        <v>120</v>
      </c>
      <c r="N28" s="37">
        <f t="shared" si="3"/>
        <v>785.54383333333328</v>
      </c>
      <c r="O28" s="38">
        <f t="shared" ca="1" si="4"/>
        <v>96</v>
      </c>
      <c r="P28" s="36">
        <f t="shared" ca="1" si="1"/>
        <v>18853.051999999996</v>
      </c>
      <c r="Q28" s="36">
        <f t="shared" ca="1" si="2"/>
        <v>18853.051999999996</v>
      </c>
      <c r="R28" s="49" t="s">
        <v>2702</v>
      </c>
    </row>
    <row r="29" spans="2:18" s="5" customFormat="1" ht="54" customHeight="1" x14ac:dyDescent="0.25">
      <c r="B29" s="27">
        <v>42972</v>
      </c>
      <c r="C29" s="24" t="s">
        <v>2349</v>
      </c>
      <c r="D29" s="26" t="s">
        <v>2932</v>
      </c>
      <c r="E29" s="26" t="s">
        <v>2936</v>
      </c>
      <c r="F29" s="26" t="s">
        <v>2937</v>
      </c>
      <c r="G29" s="29">
        <v>97737</v>
      </c>
      <c r="H29" s="26" t="s">
        <v>2935</v>
      </c>
      <c r="I29" s="26" t="s">
        <v>19</v>
      </c>
      <c r="J29" s="32">
        <f>43200+7776</f>
        <v>50976</v>
      </c>
      <c r="K29" s="32">
        <v>47.500900000000001</v>
      </c>
      <c r="L29" s="33">
        <f t="shared" ref="L29:L87" si="5">+J29/K29</f>
        <v>1073.1586138367904</v>
      </c>
      <c r="M29" s="26">
        <v>120</v>
      </c>
      <c r="N29" s="37">
        <f t="shared" ref="N29:N87" si="6">IF(AND(J29&lt;&gt;0,M29&lt;&gt;0),J29/M29,0)</f>
        <v>424.8</v>
      </c>
      <c r="O29" s="38">
        <f t="shared" ref="O29:O87" ca="1" si="7">IF(B29&lt;&gt;0,(ROUND((NOW()-B29)/30,0)),0)</f>
        <v>96</v>
      </c>
      <c r="P29" s="36">
        <f t="shared" ca="1" si="1"/>
        <v>10195.199999999997</v>
      </c>
      <c r="Q29" s="36">
        <f t="shared" ca="1" si="2"/>
        <v>10195.199999999997</v>
      </c>
      <c r="R29" s="49" t="s">
        <v>2702</v>
      </c>
    </row>
    <row r="30" spans="2:18" s="5" customFormat="1" ht="51.75" customHeight="1" x14ac:dyDescent="0.25">
      <c r="B30" s="27">
        <v>43004</v>
      </c>
      <c r="C30" s="24" t="s">
        <v>2349</v>
      </c>
      <c r="D30" s="26" t="s">
        <v>2938</v>
      </c>
      <c r="E30" s="26" t="s">
        <v>2939</v>
      </c>
      <c r="F30" s="26" t="s">
        <v>2940</v>
      </c>
      <c r="G30" s="29" t="s">
        <v>2941</v>
      </c>
      <c r="H30" s="26" t="s">
        <v>2878</v>
      </c>
      <c r="I30" s="26" t="s">
        <v>19</v>
      </c>
      <c r="J30" s="32">
        <v>104488.89</v>
      </c>
      <c r="K30" s="32">
        <v>47.602499999999999</v>
      </c>
      <c r="L30" s="33">
        <f t="shared" si="5"/>
        <v>2195.0294627383014</v>
      </c>
      <c r="M30" s="26">
        <v>60</v>
      </c>
      <c r="N30" s="37">
        <f t="shared" si="6"/>
        <v>1741.4815000000001</v>
      </c>
      <c r="O30" s="38">
        <f t="shared" ca="1" si="7"/>
        <v>95</v>
      </c>
      <c r="P30" s="36">
        <f t="shared" ca="1" si="1"/>
        <v>-60951.852500000023</v>
      </c>
      <c r="Q30" s="36">
        <f t="shared" ca="1" si="2"/>
        <v>1</v>
      </c>
      <c r="R30" s="49" t="s">
        <v>2942</v>
      </c>
    </row>
    <row r="31" spans="2:18" s="5" customFormat="1" ht="48.75" customHeight="1" x14ac:dyDescent="0.25">
      <c r="B31" s="27">
        <v>43004</v>
      </c>
      <c r="C31" s="24" t="s">
        <v>2349</v>
      </c>
      <c r="D31" s="26" t="s">
        <v>2938</v>
      </c>
      <c r="E31" s="26" t="s">
        <v>2943</v>
      </c>
      <c r="F31" s="26" t="s">
        <v>2944</v>
      </c>
      <c r="G31" s="29" t="s">
        <v>2945</v>
      </c>
      <c r="H31" s="26" t="s">
        <v>2723</v>
      </c>
      <c r="I31" s="26" t="s">
        <v>19</v>
      </c>
      <c r="J31" s="32">
        <v>58447.13</v>
      </c>
      <c r="K31" s="32">
        <v>47.602499999999999</v>
      </c>
      <c r="L31" s="33">
        <f t="shared" si="5"/>
        <v>1227.8163961976786</v>
      </c>
      <c r="M31" s="26">
        <v>60</v>
      </c>
      <c r="N31" s="37">
        <f t="shared" si="6"/>
        <v>974.11883333333333</v>
      </c>
      <c r="O31" s="38">
        <f t="shared" ca="1" si="7"/>
        <v>95</v>
      </c>
      <c r="P31" s="36">
        <f t="shared" ca="1" si="1"/>
        <v>-34094.159166666672</v>
      </c>
      <c r="Q31" s="36">
        <f t="shared" ca="1" si="2"/>
        <v>1</v>
      </c>
      <c r="R31" s="49" t="s">
        <v>2942</v>
      </c>
    </row>
    <row r="32" spans="2:18" s="5" customFormat="1" ht="50.25" customHeight="1" x14ac:dyDescent="0.25">
      <c r="B32" s="27">
        <v>43004</v>
      </c>
      <c r="C32" s="24" t="s">
        <v>2349</v>
      </c>
      <c r="D32" s="26" t="s">
        <v>2938</v>
      </c>
      <c r="E32" s="26" t="s">
        <v>2946</v>
      </c>
      <c r="F32" s="26" t="s">
        <v>2944</v>
      </c>
      <c r="G32" s="29" t="s">
        <v>2947</v>
      </c>
      <c r="H32" s="26" t="s">
        <v>2948</v>
      </c>
      <c r="I32" s="26" t="s">
        <v>19</v>
      </c>
      <c r="J32" s="32">
        <v>58447.13</v>
      </c>
      <c r="K32" s="32">
        <v>47.602499999999999</v>
      </c>
      <c r="L32" s="33">
        <f t="shared" si="5"/>
        <v>1227.8163961976786</v>
      </c>
      <c r="M32" s="26">
        <v>60</v>
      </c>
      <c r="N32" s="37">
        <f t="shared" si="6"/>
        <v>974.11883333333333</v>
      </c>
      <c r="O32" s="38">
        <f t="shared" ca="1" si="7"/>
        <v>95</v>
      </c>
      <c r="P32" s="36">
        <f t="shared" ca="1" si="1"/>
        <v>-34094.159166666672</v>
      </c>
      <c r="Q32" s="36">
        <f t="shared" ca="1" si="2"/>
        <v>1</v>
      </c>
      <c r="R32" s="49" t="s">
        <v>2942</v>
      </c>
    </row>
    <row r="33" spans="2:18" s="5" customFormat="1" ht="50.25" customHeight="1" x14ac:dyDescent="0.25">
      <c r="B33" s="27">
        <v>43004</v>
      </c>
      <c r="C33" s="24" t="s">
        <v>2349</v>
      </c>
      <c r="D33" s="26" t="s">
        <v>2938</v>
      </c>
      <c r="E33" s="26" t="s">
        <v>2949</v>
      </c>
      <c r="F33" s="26" t="s">
        <v>2944</v>
      </c>
      <c r="G33" s="29" t="s">
        <v>2950</v>
      </c>
      <c r="H33" s="26" t="s">
        <v>2951</v>
      </c>
      <c r="I33" s="26" t="s">
        <v>19</v>
      </c>
      <c r="J33" s="32">
        <v>58447.13</v>
      </c>
      <c r="K33" s="32">
        <v>47.602499999999999</v>
      </c>
      <c r="L33" s="33">
        <f t="shared" si="5"/>
        <v>1227.8163961976786</v>
      </c>
      <c r="M33" s="26">
        <v>60</v>
      </c>
      <c r="N33" s="37">
        <f t="shared" si="6"/>
        <v>974.11883333333333</v>
      </c>
      <c r="O33" s="38">
        <f t="shared" ca="1" si="7"/>
        <v>95</v>
      </c>
      <c r="P33" s="36">
        <f t="shared" ca="1" si="1"/>
        <v>-34094.159166666672</v>
      </c>
      <c r="Q33" s="36">
        <f t="shared" ca="1" si="2"/>
        <v>1</v>
      </c>
      <c r="R33" s="49" t="s">
        <v>2942</v>
      </c>
    </row>
    <row r="34" spans="2:18" s="5" customFormat="1" ht="50.25" customHeight="1" x14ac:dyDescent="0.25">
      <c r="B34" s="27">
        <v>43004</v>
      </c>
      <c r="C34" s="24" t="s">
        <v>2349</v>
      </c>
      <c r="D34" s="26" t="s">
        <v>2938</v>
      </c>
      <c r="E34" s="26" t="s">
        <v>2952</v>
      </c>
      <c r="F34" s="26" t="s">
        <v>2944</v>
      </c>
      <c r="G34" s="29" t="s">
        <v>2953</v>
      </c>
      <c r="H34" s="26" t="s">
        <v>2954</v>
      </c>
      <c r="I34" s="26" t="s">
        <v>19</v>
      </c>
      <c r="J34" s="32">
        <v>58447.13</v>
      </c>
      <c r="K34" s="32">
        <v>47.602499999999999</v>
      </c>
      <c r="L34" s="33">
        <f t="shared" si="5"/>
        <v>1227.8163961976786</v>
      </c>
      <c r="M34" s="26">
        <v>60</v>
      </c>
      <c r="N34" s="37">
        <f t="shared" si="6"/>
        <v>974.11883333333333</v>
      </c>
      <c r="O34" s="38">
        <f t="shared" ca="1" si="7"/>
        <v>95</v>
      </c>
      <c r="P34" s="36">
        <f t="shared" ca="1" si="1"/>
        <v>-34094.159166666672</v>
      </c>
      <c r="Q34" s="36">
        <f t="shared" ca="1" si="2"/>
        <v>1</v>
      </c>
      <c r="R34" s="49" t="s">
        <v>2942</v>
      </c>
    </row>
    <row r="35" spans="2:18" s="5" customFormat="1" ht="51.75" customHeight="1" x14ac:dyDescent="0.25">
      <c r="B35" s="27">
        <v>43004</v>
      </c>
      <c r="C35" s="24" t="s">
        <v>2349</v>
      </c>
      <c r="D35" s="26" t="s">
        <v>2938</v>
      </c>
      <c r="E35" s="26" t="s">
        <v>2955</v>
      </c>
      <c r="F35" s="26" t="s">
        <v>2944</v>
      </c>
      <c r="G35" s="29" t="s">
        <v>2956</v>
      </c>
      <c r="H35" s="26" t="s">
        <v>2957</v>
      </c>
      <c r="I35" s="26" t="s">
        <v>19</v>
      </c>
      <c r="J35" s="32">
        <v>58447.13</v>
      </c>
      <c r="K35" s="32">
        <v>47.602499999999999</v>
      </c>
      <c r="L35" s="33">
        <f t="shared" si="5"/>
        <v>1227.8163961976786</v>
      </c>
      <c r="M35" s="26">
        <v>60</v>
      </c>
      <c r="N35" s="37">
        <f t="shared" si="6"/>
        <v>974.11883333333333</v>
      </c>
      <c r="O35" s="38">
        <f t="shared" ca="1" si="7"/>
        <v>95</v>
      </c>
      <c r="P35" s="36">
        <f t="shared" ca="1" si="1"/>
        <v>-34094.159166666672</v>
      </c>
      <c r="Q35" s="36">
        <f t="shared" ca="1" si="2"/>
        <v>1</v>
      </c>
      <c r="R35" s="49" t="s">
        <v>2942</v>
      </c>
    </row>
    <row r="36" spans="2:18" s="5" customFormat="1" ht="53.25" customHeight="1" x14ac:dyDescent="0.25">
      <c r="B36" s="27">
        <v>43004</v>
      </c>
      <c r="C36" s="24" t="s">
        <v>2349</v>
      </c>
      <c r="D36" s="26" t="s">
        <v>2938</v>
      </c>
      <c r="E36" s="26" t="s">
        <v>2958</v>
      </c>
      <c r="F36" s="26" t="s">
        <v>2944</v>
      </c>
      <c r="G36" s="29" t="s">
        <v>2959</v>
      </c>
      <c r="H36" s="26" t="s">
        <v>2960</v>
      </c>
      <c r="I36" s="26" t="s">
        <v>19</v>
      </c>
      <c r="J36" s="32">
        <v>58447.13</v>
      </c>
      <c r="K36" s="32">
        <v>47.602499999999999</v>
      </c>
      <c r="L36" s="33">
        <f t="shared" si="5"/>
        <v>1227.8163961976786</v>
      </c>
      <c r="M36" s="26">
        <v>60</v>
      </c>
      <c r="N36" s="37">
        <f t="shared" si="6"/>
        <v>974.11883333333333</v>
      </c>
      <c r="O36" s="38">
        <f t="shared" ca="1" si="7"/>
        <v>95</v>
      </c>
      <c r="P36" s="36">
        <f t="shared" ca="1" si="1"/>
        <v>-34094.159166666672</v>
      </c>
      <c r="Q36" s="36">
        <f t="shared" ca="1" si="2"/>
        <v>1</v>
      </c>
      <c r="R36" s="49" t="s">
        <v>2942</v>
      </c>
    </row>
    <row r="37" spans="2:18" s="5" customFormat="1" ht="50.25" customHeight="1" x14ac:dyDescent="0.25">
      <c r="B37" s="27">
        <v>43004</v>
      </c>
      <c r="C37" s="24" t="s">
        <v>2349</v>
      </c>
      <c r="D37" s="26" t="s">
        <v>2938</v>
      </c>
      <c r="E37" s="26" t="s">
        <v>2961</v>
      </c>
      <c r="F37" s="26" t="s">
        <v>2944</v>
      </c>
      <c r="G37" s="29" t="s">
        <v>2962</v>
      </c>
      <c r="H37" s="26" t="s">
        <v>2963</v>
      </c>
      <c r="I37" s="26" t="s">
        <v>19</v>
      </c>
      <c r="J37" s="32">
        <v>58447.13</v>
      </c>
      <c r="K37" s="32">
        <v>47.602499999999999</v>
      </c>
      <c r="L37" s="33">
        <f t="shared" si="5"/>
        <v>1227.8163961976786</v>
      </c>
      <c r="M37" s="26">
        <v>60</v>
      </c>
      <c r="N37" s="37">
        <f t="shared" si="6"/>
        <v>974.11883333333333</v>
      </c>
      <c r="O37" s="38">
        <f t="shared" ca="1" si="7"/>
        <v>95</v>
      </c>
      <c r="P37" s="36">
        <f t="shared" ca="1" si="1"/>
        <v>-34094.159166666672</v>
      </c>
      <c r="Q37" s="36">
        <f t="shared" ca="1" si="2"/>
        <v>1</v>
      </c>
      <c r="R37" s="49" t="s">
        <v>2942</v>
      </c>
    </row>
    <row r="38" spans="2:18" s="5" customFormat="1" ht="54" customHeight="1" x14ac:dyDescent="0.25">
      <c r="B38" s="27">
        <v>43004</v>
      </c>
      <c r="C38" s="24" t="s">
        <v>2349</v>
      </c>
      <c r="D38" s="26" t="s">
        <v>2938</v>
      </c>
      <c r="E38" s="26" t="s">
        <v>2964</v>
      </c>
      <c r="F38" s="26" t="s">
        <v>2944</v>
      </c>
      <c r="G38" s="29" t="s">
        <v>2965</v>
      </c>
      <c r="H38" s="26" t="s">
        <v>2881</v>
      </c>
      <c r="I38" s="26" t="s">
        <v>19</v>
      </c>
      <c r="J38" s="32">
        <v>58447.13</v>
      </c>
      <c r="K38" s="32">
        <v>47.602499999999999</v>
      </c>
      <c r="L38" s="33">
        <f t="shared" si="5"/>
        <v>1227.8163961976786</v>
      </c>
      <c r="M38" s="26">
        <v>60</v>
      </c>
      <c r="N38" s="37">
        <f t="shared" si="6"/>
        <v>974.11883333333333</v>
      </c>
      <c r="O38" s="38">
        <f t="shared" ca="1" si="7"/>
        <v>95</v>
      </c>
      <c r="P38" s="36">
        <f t="shared" ca="1" si="1"/>
        <v>-34094.159166666672</v>
      </c>
      <c r="Q38" s="36">
        <f t="shared" ca="1" si="2"/>
        <v>1</v>
      </c>
      <c r="R38" s="49" t="s">
        <v>2942</v>
      </c>
    </row>
    <row r="39" spans="2:18" s="5" customFormat="1" ht="50.25" customHeight="1" x14ac:dyDescent="0.25">
      <c r="B39" s="27">
        <v>43004</v>
      </c>
      <c r="C39" s="24" t="s">
        <v>2349</v>
      </c>
      <c r="D39" s="26" t="s">
        <v>2938</v>
      </c>
      <c r="E39" s="26" t="s">
        <v>2966</v>
      </c>
      <c r="F39" s="26" t="s">
        <v>2944</v>
      </c>
      <c r="G39" s="29" t="s">
        <v>2967</v>
      </c>
      <c r="H39" s="26" t="s">
        <v>2968</v>
      </c>
      <c r="I39" s="26" t="s">
        <v>19</v>
      </c>
      <c r="J39" s="32">
        <v>58447.13</v>
      </c>
      <c r="K39" s="32">
        <v>47.602499999999999</v>
      </c>
      <c r="L39" s="33">
        <f t="shared" si="5"/>
        <v>1227.8163961976786</v>
      </c>
      <c r="M39" s="26">
        <v>60</v>
      </c>
      <c r="N39" s="37">
        <f t="shared" si="6"/>
        <v>974.11883333333333</v>
      </c>
      <c r="O39" s="38">
        <f t="shared" ca="1" si="7"/>
        <v>95</v>
      </c>
      <c r="P39" s="36">
        <f t="shared" ca="1" si="1"/>
        <v>-34094.159166666672</v>
      </c>
      <c r="Q39" s="36">
        <f t="shared" ca="1" si="2"/>
        <v>1</v>
      </c>
      <c r="R39" s="49" t="s">
        <v>2942</v>
      </c>
    </row>
    <row r="40" spans="2:18" s="5" customFormat="1" ht="54.75" customHeight="1" x14ac:dyDescent="0.25">
      <c r="B40" s="27">
        <v>43004</v>
      </c>
      <c r="C40" s="24" t="s">
        <v>2349</v>
      </c>
      <c r="D40" s="26" t="s">
        <v>2938</v>
      </c>
      <c r="E40" s="26" t="s">
        <v>2969</v>
      </c>
      <c r="F40" s="26" t="s">
        <v>2944</v>
      </c>
      <c r="G40" s="29" t="s">
        <v>2970</v>
      </c>
      <c r="H40" s="26" t="s">
        <v>2971</v>
      </c>
      <c r="I40" s="26" t="s">
        <v>19</v>
      </c>
      <c r="J40" s="32">
        <v>58447.13</v>
      </c>
      <c r="K40" s="32">
        <v>47.602499999999999</v>
      </c>
      <c r="L40" s="33">
        <f t="shared" si="5"/>
        <v>1227.8163961976786</v>
      </c>
      <c r="M40" s="26">
        <v>60</v>
      </c>
      <c r="N40" s="37">
        <f t="shared" si="6"/>
        <v>974.11883333333333</v>
      </c>
      <c r="O40" s="38">
        <f t="shared" ca="1" si="7"/>
        <v>95</v>
      </c>
      <c r="P40" s="36">
        <f t="shared" ca="1" si="1"/>
        <v>-34094.159166666672</v>
      </c>
      <c r="Q40" s="36">
        <f t="shared" ca="1" si="2"/>
        <v>1</v>
      </c>
      <c r="R40" s="49" t="s">
        <v>2942</v>
      </c>
    </row>
    <row r="41" spans="2:18" s="5" customFormat="1" ht="54" customHeight="1" x14ac:dyDescent="0.25">
      <c r="B41" s="27">
        <v>43004</v>
      </c>
      <c r="C41" s="24" t="s">
        <v>2349</v>
      </c>
      <c r="D41" s="26" t="s">
        <v>2938</v>
      </c>
      <c r="E41" s="26" t="s">
        <v>2972</v>
      </c>
      <c r="F41" s="26" t="s">
        <v>2944</v>
      </c>
      <c r="G41" s="29" t="s">
        <v>2973</v>
      </c>
      <c r="H41" s="26" t="s">
        <v>2974</v>
      </c>
      <c r="I41" s="26" t="s">
        <v>19</v>
      </c>
      <c r="J41" s="32">
        <v>58447.13</v>
      </c>
      <c r="K41" s="32">
        <v>47.602499999999999</v>
      </c>
      <c r="L41" s="33">
        <f t="shared" si="5"/>
        <v>1227.8163961976786</v>
      </c>
      <c r="M41" s="26">
        <v>60</v>
      </c>
      <c r="N41" s="37">
        <f t="shared" si="6"/>
        <v>974.11883333333333</v>
      </c>
      <c r="O41" s="38">
        <f t="shared" ca="1" si="7"/>
        <v>95</v>
      </c>
      <c r="P41" s="36">
        <f t="shared" ca="1" si="1"/>
        <v>-34094.159166666672</v>
      </c>
      <c r="Q41" s="36">
        <f t="shared" ca="1" si="2"/>
        <v>1</v>
      </c>
      <c r="R41" s="49" t="s">
        <v>2942</v>
      </c>
    </row>
    <row r="42" spans="2:18" s="5" customFormat="1" ht="57.75" customHeight="1" x14ac:dyDescent="0.25">
      <c r="B42" s="27">
        <v>43004</v>
      </c>
      <c r="C42" s="24" t="s">
        <v>2349</v>
      </c>
      <c r="D42" s="26" t="s">
        <v>2938</v>
      </c>
      <c r="E42" s="26" t="s">
        <v>2975</v>
      </c>
      <c r="F42" s="26" t="s">
        <v>2944</v>
      </c>
      <c r="G42" s="29" t="s">
        <v>2976</v>
      </c>
      <c r="H42" s="29" t="s">
        <v>2977</v>
      </c>
      <c r="I42" s="26" t="s">
        <v>19</v>
      </c>
      <c r="J42" s="32">
        <v>58447.13</v>
      </c>
      <c r="K42" s="32">
        <v>47.602499999999999</v>
      </c>
      <c r="L42" s="33">
        <f t="shared" si="5"/>
        <v>1227.8163961976786</v>
      </c>
      <c r="M42" s="26">
        <v>60</v>
      </c>
      <c r="N42" s="37">
        <f t="shared" si="6"/>
        <v>974.11883333333333</v>
      </c>
      <c r="O42" s="38">
        <f t="shared" ca="1" si="7"/>
        <v>95</v>
      </c>
      <c r="P42" s="36">
        <f t="shared" ca="1" si="1"/>
        <v>-34094.159166666672</v>
      </c>
      <c r="Q42" s="36">
        <f t="shared" ca="1" si="2"/>
        <v>1</v>
      </c>
      <c r="R42" s="49" t="s">
        <v>2942</v>
      </c>
    </row>
    <row r="43" spans="2:18" s="5" customFormat="1" ht="53.25" customHeight="1" x14ac:dyDescent="0.25">
      <c r="B43" s="27">
        <v>43004</v>
      </c>
      <c r="C43" s="24" t="s">
        <v>2349</v>
      </c>
      <c r="D43" s="26" t="s">
        <v>2938</v>
      </c>
      <c r="E43" s="26" t="s">
        <v>2978</v>
      </c>
      <c r="F43" s="26" t="s">
        <v>2944</v>
      </c>
      <c r="G43" s="29" t="s">
        <v>2979</v>
      </c>
      <c r="H43" s="26" t="s">
        <v>2980</v>
      </c>
      <c r="I43" s="26" t="s">
        <v>19</v>
      </c>
      <c r="J43" s="32">
        <v>58447.13</v>
      </c>
      <c r="K43" s="32">
        <v>47.602499999999999</v>
      </c>
      <c r="L43" s="33">
        <f t="shared" si="5"/>
        <v>1227.8163961976786</v>
      </c>
      <c r="M43" s="26">
        <v>60</v>
      </c>
      <c r="N43" s="37">
        <f t="shared" si="6"/>
        <v>974.11883333333333</v>
      </c>
      <c r="O43" s="38">
        <f t="shared" ca="1" si="7"/>
        <v>95</v>
      </c>
      <c r="P43" s="36">
        <f t="shared" ca="1" si="1"/>
        <v>-34094.159166666672</v>
      </c>
      <c r="Q43" s="36">
        <f t="shared" ca="1" si="2"/>
        <v>1</v>
      </c>
      <c r="R43" s="49" t="s">
        <v>2942</v>
      </c>
    </row>
    <row r="44" spans="2:18" s="5" customFormat="1" ht="49.5" customHeight="1" x14ac:dyDescent="0.25">
      <c r="B44" s="27">
        <v>43004</v>
      </c>
      <c r="C44" s="24" t="s">
        <v>2349</v>
      </c>
      <c r="D44" s="26" t="s">
        <v>2938</v>
      </c>
      <c r="E44" s="26" t="s">
        <v>2981</v>
      </c>
      <c r="F44" s="26" t="s">
        <v>2944</v>
      </c>
      <c r="G44" s="29" t="s">
        <v>2982</v>
      </c>
      <c r="H44" s="26" t="s">
        <v>2983</v>
      </c>
      <c r="I44" s="26" t="s">
        <v>19</v>
      </c>
      <c r="J44" s="32">
        <v>58447.13</v>
      </c>
      <c r="K44" s="32">
        <v>47.602499999999999</v>
      </c>
      <c r="L44" s="33">
        <f t="shared" si="5"/>
        <v>1227.8163961976786</v>
      </c>
      <c r="M44" s="26">
        <v>60</v>
      </c>
      <c r="N44" s="37">
        <f t="shared" si="6"/>
        <v>974.11883333333333</v>
      </c>
      <c r="O44" s="38">
        <f t="shared" ca="1" si="7"/>
        <v>95</v>
      </c>
      <c r="P44" s="36">
        <f t="shared" ca="1" si="1"/>
        <v>-34094.159166666672</v>
      </c>
      <c r="Q44" s="36">
        <f t="shared" ca="1" si="2"/>
        <v>1</v>
      </c>
      <c r="R44" s="49" t="s">
        <v>2942</v>
      </c>
    </row>
    <row r="45" spans="2:18" s="5" customFormat="1" ht="59.25" customHeight="1" x14ac:dyDescent="0.25">
      <c r="B45" s="27">
        <v>43004</v>
      </c>
      <c r="C45" s="24" t="s">
        <v>2349</v>
      </c>
      <c r="D45" s="26" t="s">
        <v>2938</v>
      </c>
      <c r="E45" s="26" t="s">
        <v>2984</v>
      </c>
      <c r="F45" s="26" t="s">
        <v>2944</v>
      </c>
      <c r="G45" s="29" t="s">
        <v>2985</v>
      </c>
      <c r="H45" s="26" t="s">
        <v>2986</v>
      </c>
      <c r="I45" s="26" t="s">
        <v>19</v>
      </c>
      <c r="J45" s="32">
        <v>58447.13</v>
      </c>
      <c r="K45" s="32">
        <v>47.602499999999999</v>
      </c>
      <c r="L45" s="33">
        <f t="shared" si="5"/>
        <v>1227.8163961976786</v>
      </c>
      <c r="M45" s="26">
        <v>60</v>
      </c>
      <c r="N45" s="37">
        <f t="shared" si="6"/>
        <v>974.11883333333333</v>
      </c>
      <c r="O45" s="38">
        <f t="shared" ca="1" si="7"/>
        <v>95</v>
      </c>
      <c r="P45" s="36">
        <f t="shared" ca="1" si="1"/>
        <v>-34094.159166666672</v>
      </c>
      <c r="Q45" s="36">
        <f t="shared" ca="1" si="2"/>
        <v>1</v>
      </c>
      <c r="R45" s="49" t="s">
        <v>2942</v>
      </c>
    </row>
    <row r="46" spans="2:18" s="5" customFormat="1" ht="51.75" customHeight="1" x14ac:dyDescent="0.25">
      <c r="B46" s="27">
        <v>43007</v>
      </c>
      <c r="C46" s="24" t="s">
        <v>2349</v>
      </c>
      <c r="D46" s="26" t="s">
        <v>2987</v>
      </c>
      <c r="E46" s="26" t="s">
        <v>2988</v>
      </c>
      <c r="F46" s="26" t="s">
        <v>2989</v>
      </c>
      <c r="G46" s="29">
        <v>15718</v>
      </c>
      <c r="H46" s="26" t="s">
        <v>2990</v>
      </c>
      <c r="I46" s="26" t="s">
        <v>19</v>
      </c>
      <c r="J46" s="32">
        <v>3776</v>
      </c>
      <c r="K46" s="32">
        <v>47.676900000000003</v>
      </c>
      <c r="L46" s="33">
        <f t="shared" si="5"/>
        <v>79.199780187050749</v>
      </c>
      <c r="M46" s="26">
        <v>60</v>
      </c>
      <c r="N46" s="37">
        <f t="shared" si="6"/>
        <v>62.93333333333333</v>
      </c>
      <c r="O46" s="38">
        <f t="shared" ca="1" si="7"/>
        <v>95</v>
      </c>
      <c r="P46" s="36">
        <f t="shared" ca="1" si="1"/>
        <v>-2202.6666666666661</v>
      </c>
      <c r="Q46" s="36">
        <f t="shared" ca="1" si="2"/>
        <v>1</v>
      </c>
      <c r="R46" s="49" t="s">
        <v>2991</v>
      </c>
    </row>
    <row r="47" spans="2:18" s="5" customFormat="1" ht="81" customHeight="1" x14ac:dyDescent="0.25">
      <c r="B47" s="27">
        <v>43007</v>
      </c>
      <c r="C47" s="24" t="s">
        <v>2349</v>
      </c>
      <c r="D47" s="26" t="s">
        <v>2992</v>
      </c>
      <c r="E47" s="26" t="s">
        <v>2993</v>
      </c>
      <c r="F47" s="26" t="s">
        <v>2994</v>
      </c>
      <c r="G47" s="29" t="s">
        <v>28</v>
      </c>
      <c r="H47" s="26" t="s">
        <v>2995</v>
      </c>
      <c r="I47" s="26" t="s">
        <v>19</v>
      </c>
      <c r="J47" s="32">
        <v>283878.59000000003</v>
      </c>
      <c r="K47" s="32">
        <v>47.676900000000003</v>
      </c>
      <c r="L47" s="33">
        <f t="shared" si="5"/>
        <v>5954.2166122377921</v>
      </c>
      <c r="M47" s="26">
        <v>60</v>
      </c>
      <c r="N47" s="37">
        <f t="shared" si="6"/>
        <v>4731.3098333333337</v>
      </c>
      <c r="O47" s="38">
        <f t="shared" ca="1" si="7"/>
        <v>95</v>
      </c>
      <c r="P47" s="36">
        <f t="shared" ca="1" si="1"/>
        <v>-165595.84416666668</v>
      </c>
      <c r="Q47" s="36">
        <f t="shared" ca="1" si="2"/>
        <v>1</v>
      </c>
      <c r="R47" s="49" t="s">
        <v>2996</v>
      </c>
    </row>
    <row r="48" spans="2:18" s="5" customFormat="1" ht="93" customHeight="1" x14ac:dyDescent="0.25">
      <c r="B48" s="27">
        <v>43007</v>
      </c>
      <c r="C48" s="24" t="s">
        <v>2349</v>
      </c>
      <c r="D48" s="26" t="s">
        <v>2997</v>
      </c>
      <c r="E48" s="26" t="s">
        <v>2998</v>
      </c>
      <c r="F48" s="26" t="s">
        <v>2999</v>
      </c>
      <c r="G48" s="29" t="s">
        <v>3000</v>
      </c>
      <c r="H48" s="26" t="s">
        <v>2995</v>
      </c>
      <c r="I48" s="26" t="s">
        <v>19</v>
      </c>
      <c r="J48" s="32">
        <v>112692.89</v>
      </c>
      <c r="K48" s="32">
        <v>47.676900000000003</v>
      </c>
      <c r="L48" s="33">
        <f t="shared" si="5"/>
        <v>2363.6790563144832</v>
      </c>
      <c r="M48" s="26">
        <v>60</v>
      </c>
      <c r="N48" s="37">
        <f t="shared" si="6"/>
        <v>1878.2148333333332</v>
      </c>
      <c r="O48" s="38">
        <f t="shared" ca="1" si="7"/>
        <v>95</v>
      </c>
      <c r="P48" s="36">
        <f t="shared" ca="1" si="1"/>
        <v>-65737.519166666651</v>
      </c>
      <c r="Q48" s="36">
        <f t="shared" ca="1" si="2"/>
        <v>1</v>
      </c>
      <c r="R48" s="49" t="s">
        <v>1327</v>
      </c>
    </row>
    <row r="49" spans="2:18" s="5" customFormat="1" ht="102.75" customHeight="1" x14ac:dyDescent="0.25">
      <c r="B49" s="27">
        <v>43053</v>
      </c>
      <c r="C49" s="24" t="s">
        <v>2349</v>
      </c>
      <c r="D49" s="26" t="s">
        <v>3001</v>
      </c>
      <c r="E49" s="26" t="s">
        <v>3002</v>
      </c>
      <c r="F49" s="26" t="s">
        <v>3003</v>
      </c>
      <c r="G49" s="29" t="s">
        <v>28</v>
      </c>
      <c r="H49" s="26" t="s">
        <v>23</v>
      </c>
      <c r="I49" s="26" t="s">
        <v>3004</v>
      </c>
      <c r="J49" s="32">
        <f>1770*16</f>
        <v>28320</v>
      </c>
      <c r="K49" s="32">
        <v>47.850999999999999</v>
      </c>
      <c r="L49" s="33">
        <f t="shared" si="5"/>
        <v>591.83716118785401</v>
      </c>
      <c r="M49" s="26">
        <v>60</v>
      </c>
      <c r="N49" s="37">
        <f t="shared" si="6"/>
        <v>472</v>
      </c>
      <c r="O49" s="38">
        <f t="shared" ca="1" si="7"/>
        <v>93</v>
      </c>
      <c r="P49" s="36">
        <f t="shared" ca="1" si="1"/>
        <v>-15576</v>
      </c>
      <c r="Q49" s="36">
        <f t="shared" ca="1" si="2"/>
        <v>1</v>
      </c>
      <c r="R49" s="49" t="s">
        <v>1319</v>
      </c>
    </row>
    <row r="50" spans="2:18" s="5" customFormat="1" ht="78" customHeight="1" x14ac:dyDescent="0.25">
      <c r="B50" s="27">
        <v>43053</v>
      </c>
      <c r="C50" s="24" t="s">
        <v>2349</v>
      </c>
      <c r="D50" s="26" t="s">
        <v>3001</v>
      </c>
      <c r="E50" s="26" t="s">
        <v>3005</v>
      </c>
      <c r="F50" s="26" t="s">
        <v>3006</v>
      </c>
      <c r="G50" s="29" t="s">
        <v>28</v>
      </c>
      <c r="H50" s="26" t="s">
        <v>318</v>
      </c>
      <c r="I50" s="26" t="s">
        <v>3007</v>
      </c>
      <c r="J50" s="32">
        <f>1770*12</f>
        <v>21240</v>
      </c>
      <c r="K50" s="32">
        <v>47.850999999999999</v>
      </c>
      <c r="L50" s="33">
        <f t="shared" si="5"/>
        <v>443.87787089089051</v>
      </c>
      <c r="M50" s="26">
        <v>60</v>
      </c>
      <c r="N50" s="37">
        <f t="shared" si="6"/>
        <v>354</v>
      </c>
      <c r="O50" s="38">
        <f t="shared" ca="1" si="7"/>
        <v>93</v>
      </c>
      <c r="P50" s="36">
        <f t="shared" ca="1" si="1"/>
        <v>-11682</v>
      </c>
      <c r="Q50" s="36">
        <f t="shared" ca="1" si="2"/>
        <v>1</v>
      </c>
      <c r="R50" s="49" t="s">
        <v>1319</v>
      </c>
    </row>
    <row r="51" spans="2:18" s="5" customFormat="1" ht="81.75" customHeight="1" x14ac:dyDescent="0.25">
      <c r="B51" s="27">
        <v>43053</v>
      </c>
      <c r="C51" s="24" t="s">
        <v>2349</v>
      </c>
      <c r="D51" s="26" t="s">
        <v>3001</v>
      </c>
      <c r="E51" s="26" t="s">
        <v>3008</v>
      </c>
      <c r="F51" s="26" t="s">
        <v>3003</v>
      </c>
      <c r="G51" s="29" t="s">
        <v>28</v>
      </c>
      <c r="H51" s="26" t="s">
        <v>3009</v>
      </c>
      <c r="I51" s="26" t="s">
        <v>3010</v>
      </c>
      <c r="J51" s="32">
        <f>1770*16</f>
        <v>28320</v>
      </c>
      <c r="K51" s="32">
        <v>47.850999999999999</v>
      </c>
      <c r="L51" s="33">
        <f t="shared" si="5"/>
        <v>591.83716118785401</v>
      </c>
      <c r="M51" s="26">
        <v>60</v>
      </c>
      <c r="N51" s="37">
        <f t="shared" si="6"/>
        <v>472</v>
      </c>
      <c r="O51" s="38">
        <f t="shared" ca="1" si="7"/>
        <v>93</v>
      </c>
      <c r="P51" s="36">
        <f t="shared" ca="1" si="1"/>
        <v>-15576</v>
      </c>
      <c r="Q51" s="36">
        <f t="shared" ca="1" si="2"/>
        <v>1</v>
      </c>
      <c r="R51" s="49" t="s">
        <v>1319</v>
      </c>
    </row>
    <row r="52" spans="2:18" s="5" customFormat="1" ht="78" customHeight="1" x14ac:dyDescent="0.25">
      <c r="B52" s="27">
        <v>43053</v>
      </c>
      <c r="C52" s="24" t="s">
        <v>2349</v>
      </c>
      <c r="D52" s="26" t="s">
        <v>3001</v>
      </c>
      <c r="E52" s="26" t="s">
        <v>3011</v>
      </c>
      <c r="F52" s="26" t="s">
        <v>3003</v>
      </c>
      <c r="G52" s="29" t="s">
        <v>28</v>
      </c>
      <c r="H52" s="26" t="s">
        <v>3012</v>
      </c>
      <c r="I52" s="26" t="s">
        <v>3013</v>
      </c>
      <c r="J52" s="32">
        <f>1770*16</f>
        <v>28320</v>
      </c>
      <c r="K52" s="32">
        <v>47.850999999999999</v>
      </c>
      <c r="L52" s="33">
        <f t="shared" si="5"/>
        <v>591.83716118785401</v>
      </c>
      <c r="M52" s="26">
        <v>60</v>
      </c>
      <c r="N52" s="37">
        <f t="shared" si="6"/>
        <v>472</v>
      </c>
      <c r="O52" s="38">
        <f t="shared" ca="1" si="7"/>
        <v>93</v>
      </c>
      <c r="P52" s="36">
        <f t="shared" ca="1" si="1"/>
        <v>-15576</v>
      </c>
      <c r="Q52" s="36">
        <f t="shared" ca="1" si="2"/>
        <v>1</v>
      </c>
      <c r="R52" s="49" t="s">
        <v>1319</v>
      </c>
    </row>
    <row r="53" spans="2:18" s="5" customFormat="1" ht="78.75" customHeight="1" x14ac:dyDescent="0.25">
      <c r="B53" s="27">
        <v>43061</v>
      </c>
      <c r="C53" s="24" t="s">
        <v>2349</v>
      </c>
      <c r="D53" s="26" t="s">
        <v>3014</v>
      </c>
      <c r="E53" s="26" t="s">
        <v>3015</v>
      </c>
      <c r="F53" s="26" t="s">
        <v>3016</v>
      </c>
      <c r="G53" s="29" t="s">
        <v>28</v>
      </c>
      <c r="H53" s="26" t="s">
        <v>23</v>
      </c>
      <c r="I53" s="26" t="s">
        <v>3004</v>
      </c>
      <c r="J53" s="32">
        <f>(5513.26+1689.754)*1</f>
        <v>7203.0140000000001</v>
      </c>
      <c r="K53" s="32">
        <v>47.930799999999998</v>
      </c>
      <c r="L53" s="33">
        <f t="shared" si="5"/>
        <v>150.27944453253443</v>
      </c>
      <c r="M53" s="26">
        <v>60</v>
      </c>
      <c r="N53" s="37">
        <f t="shared" si="6"/>
        <v>120.05023333333334</v>
      </c>
      <c r="O53" s="38">
        <f t="shared" ca="1" si="7"/>
        <v>93</v>
      </c>
      <c r="P53" s="36">
        <f t="shared" ca="1" si="1"/>
        <v>-3961.6577000000007</v>
      </c>
      <c r="Q53" s="36">
        <f t="shared" ca="1" si="2"/>
        <v>1</v>
      </c>
      <c r="R53" s="49" t="s">
        <v>3017</v>
      </c>
    </row>
    <row r="54" spans="2:18" s="5" customFormat="1" ht="81" customHeight="1" x14ac:dyDescent="0.25">
      <c r="B54" s="27">
        <v>43061</v>
      </c>
      <c r="C54" s="24" t="s">
        <v>2349</v>
      </c>
      <c r="D54" s="26" t="s">
        <v>3014</v>
      </c>
      <c r="E54" s="26" t="s">
        <v>3018</v>
      </c>
      <c r="F54" s="26" t="s">
        <v>3019</v>
      </c>
      <c r="G54" s="29" t="s">
        <v>28</v>
      </c>
      <c r="H54" s="26" t="s">
        <v>23</v>
      </c>
      <c r="I54" s="26" t="s">
        <v>3004</v>
      </c>
      <c r="J54" s="32">
        <f>(5698.49+1689.8)*18</f>
        <v>132989.22</v>
      </c>
      <c r="K54" s="32">
        <v>47.930799999999998</v>
      </c>
      <c r="L54" s="33">
        <f t="shared" si="5"/>
        <v>2774.6088110359101</v>
      </c>
      <c r="M54" s="26">
        <v>60</v>
      </c>
      <c r="N54" s="37">
        <f t="shared" si="6"/>
        <v>2216.4870000000001</v>
      </c>
      <c r="O54" s="38">
        <f t="shared" ca="1" si="7"/>
        <v>93</v>
      </c>
      <c r="P54" s="36">
        <f t="shared" ca="1" si="1"/>
        <v>-73144.070999999996</v>
      </c>
      <c r="Q54" s="36">
        <f t="shared" ca="1" si="2"/>
        <v>1</v>
      </c>
      <c r="R54" s="49" t="s">
        <v>3017</v>
      </c>
    </row>
    <row r="55" spans="2:18" s="5" customFormat="1" ht="100.5" customHeight="1" x14ac:dyDescent="0.25">
      <c r="B55" s="27">
        <v>43061</v>
      </c>
      <c r="C55" s="24" t="s">
        <v>2349</v>
      </c>
      <c r="D55" s="26" t="s">
        <v>3014</v>
      </c>
      <c r="E55" s="26" t="s">
        <v>3020</v>
      </c>
      <c r="F55" s="26" t="s">
        <v>3021</v>
      </c>
      <c r="G55" s="29" t="s">
        <v>28</v>
      </c>
      <c r="H55" s="26" t="s">
        <v>23</v>
      </c>
      <c r="I55" s="26" t="s">
        <v>3004</v>
      </c>
      <c r="J55" s="32">
        <f>(6045.6+1689.8)*99</f>
        <v>765804.60000000009</v>
      </c>
      <c r="K55" s="32">
        <v>47.930799999999998</v>
      </c>
      <c r="L55" s="33">
        <f t="shared" si="5"/>
        <v>15977.296435694796</v>
      </c>
      <c r="M55" s="26">
        <v>60</v>
      </c>
      <c r="N55" s="37">
        <f t="shared" si="6"/>
        <v>12763.410000000002</v>
      </c>
      <c r="O55" s="38">
        <f t="shared" ca="1" si="7"/>
        <v>93</v>
      </c>
      <c r="P55" s="36">
        <f t="shared" ca="1" si="1"/>
        <v>-421192.53</v>
      </c>
      <c r="Q55" s="36">
        <f t="shared" ca="1" si="2"/>
        <v>1</v>
      </c>
      <c r="R55" s="49" t="s">
        <v>3017</v>
      </c>
    </row>
    <row r="56" spans="2:18" s="5" customFormat="1" ht="81" customHeight="1" x14ac:dyDescent="0.25">
      <c r="B56" s="27">
        <v>43061</v>
      </c>
      <c r="C56" s="24" t="s">
        <v>2349</v>
      </c>
      <c r="D56" s="26" t="s">
        <v>3014</v>
      </c>
      <c r="E56" s="26" t="s">
        <v>3022</v>
      </c>
      <c r="F56" s="26" t="s">
        <v>3023</v>
      </c>
      <c r="G56" s="29" t="s">
        <v>28</v>
      </c>
      <c r="H56" s="26" t="s">
        <v>318</v>
      </c>
      <c r="I56" s="26" t="s">
        <v>3007</v>
      </c>
      <c r="J56" s="32">
        <f>(5698.49+1689.8)*4</f>
        <v>29553.16</v>
      </c>
      <c r="K56" s="32">
        <v>47.930799999999998</v>
      </c>
      <c r="L56" s="33">
        <f t="shared" si="5"/>
        <v>616.57973578575786</v>
      </c>
      <c r="M56" s="26">
        <v>60</v>
      </c>
      <c r="N56" s="37">
        <f t="shared" si="6"/>
        <v>492.55266666666665</v>
      </c>
      <c r="O56" s="38">
        <f t="shared" ca="1" si="7"/>
        <v>93</v>
      </c>
      <c r="P56" s="36">
        <f t="shared" ca="1" si="1"/>
        <v>-16254.238000000001</v>
      </c>
      <c r="Q56" s="36">
        <f t="shared" ca="1" si="2"/>
        <v>1</v>
      </c>
      <c r="R56" s="49" t="s">
        <v>3017</v>
      </c>
    </row>
    <row r="57" spans="2:18" s="5" customFormat="1" ht="84" customHeight="1" x14ac:dyDescent="0.25">
      <c r="B57" s="27">
        <v>43061</v>
      </c>
      <c r="C57" s="24" t="s">
        <v>2349</v>
      </c>
      <c r="D57" s="26" t="s">
        <v>3014</v>
      </c>
      <c r="E57" s="26" t="s">
        <v>3024</v>
      </c>
      <c r="F57" s="26" t="s">
        <v>3025</v>
      </c>
      <c r="G57" s="29" t="s">
        <v>28</v>
      </c>
      <c r="H57" s="26" t="s">
        <v>318</v>
      </c>
      <c r="I57" s="26" t="s">
        <v>3007</v>
      </c>
      <c r="J57" s="32">
        <f>(6045.6+1689.8)*62</f>
        <v>479594.80000000005</v>
      </c>
      <c r="K57" s="32">
        <v>47.930799999999998</v>
      </c>
      <c r="L57" s="33">
        <f t="shared" si="5"/>
        <v>10005.98362639472</v>
      </c>
      <c r="M57" s="26">
        <v>60</v>
      </c>
      <c r="N57" s="37">
        <f t="shared" si="6"/>
        <v>7993.2466666666678</v>
      </c>
      <c r="O57" s="38">
        <f t="shared" ca="1" si="7"/>
        <v>93</v>
      </c>
      <c r="P57" s="36">
        <f t="shared" ca="1" si="1"/>
        <v>-263777.14</v>
      </c>
      <c r="Q57" s="36">
        <f t="shared" ca="1" si="2"/>
        <v>1</v>
      </c>
      <c r="R57" s="49" t="s">
        <v>3017</v>
      </c>
    </row>
    <row r="58" spans="2:18" s="5" customFormat="1" ht="87.75" customHeight="1" x14ac:dyDescent="0.25">
      <c r="B58" s="27">
        <v>43061</v>
      </c>
      <c r="C58" s="24" t="s">
        <v>2349</v>
      </c>
      <c r="D58" s="26" t="s">
        <v>3014</v>
      </c>
      <c r="E58" s="26" t="s">
        <v>3026</v>
      </c>
      <c r="F58" s="26" t="s">
        <v>3027</v>
      </c>
      <c r="G58" s="29" t="s">
        <v>28</v>
      </c>
      <c r="H58" s="26" t="s">
        <v>3012</v>
      </c>
      <c r="I58" s="26" t="s">
        <v>3013</v>
      </c>
      <c r="J58" s="32">
        <f>(5513.26+1689.75)*9</f>
        <v>64827.090000000004</v>
      </c>
      <c r="K58" s="32">
        <v>47.930799999999998</v>
      </c>
      <c r="L58" s="33">
        <f t="shared" si="5"/>
        <v>1352.5142497099987</v>
      </c>
      <c r="M58" s="26">
        <v>60</v>
      </c>
      <c r="N58" s="37">
        <f t="shared" si="6"/>
        <v>1080.4515000000001</v>
      </c>
      <c r="O58" s="38">
        <f t="shared" ca="1" si="7"/>
        <v>93</v>
      </c>
      <c r="P58" s="36">
        <f t="shared" ca="1" si="1"/>
        <v>-35654.899500000007</v>
      </c>
      <c r="Q58" s="36">
        <f t="shared" ca="1" si="2"/>
        <v>1</v>
      </c>
      <c r="R58" s="49" t="s">
        <v>3017</v>
      </c>
    </row>
    <row r="59" spans="2:18" s="5" customFormat="1" ht="87" customHeight="1" x14ac:dyDescent="0.25">
      <c r="B59" s="27">
        <v>43061</v>
      </c>
      <c r="C59" s="24" t="s">
        <v>2349</v>
      </c>
      <c r="D59" s="26" t="s">
        <v>3014</v>
      </c>
      <c r="E59" s="26" t="s">
        <v>3028</v>
      </c>
      <c r="F59" s="26" t="s">
        <v>3029</v>
      </c>
      <c r="G59" s="29" t="s">
        <v>28</v>
      </c>
      <c r="H59" s="26" t="s">
        <v>3012</v>
      </c>
      <c r="I59" s="26" t="s">
        <v>3013</v>
      </c>
      <c r="J59" s="32">
        <f>(5698.49+1689.8)*15</f>
        <v>110824.35</v>
      </c>
      <c r="K59" s="32">
        <v>47.930799999999998</v>
      </c>
      <c r="L59" s="33">
        <f t="shared" si="5"/>
        <v>2312.1740091965921</v>
      </c>
      <c r="M59" s="26">
        <v>60</v>
      </c>
      <c r="N59" s="37">
        <f t="shared" si="6"/>
        <v>1847.0725</v>
      </c>
      <c r="O59" s="38">
        <f t="shared" ca="1" si="7"/>
        <v>93</v>
      </c>
      <c r="P59" s="36">
        <f t="shared" ca="1" si="1"/>
        <v>-60953.392499999987</v>
      </c>
      <c r="Q59" s="36">
        <f t="shared" ca="1" si="2"/>
        <v>1</v>
      </c>
      <c r="R59" s="49" t="s">
        <v>3017</v>
      </c>
    </row>
    <row r="60" spans="2:18" s="5" customFormat="1" ht="100.5" customHeight="1" x14ac:dyDescent="0.25">
      <c r="B60" s="27">
        <v>43061</v>
      </c>
      <c r="C60" s="24" t="s">
        <v>2349</v>
      </c>
      <c r="D60" s="26" t="s">
        <v>3014</v>
      </c>
      <c r="E60" s="26" t="s">
        <v>3030</v>
      </c>
      <c r="F60" s="26" t="s">
        <v>3031</v>
      </c>
      <c r="G60" s="29" t="s">
        <v>28</v>
      </c>
      <c r="H60" s="26" t="s">
        <v>3012</v>
      </c>
      <c r="I60" s="26" t="s">
        <v>3013</v>
      </c>
      <c r="J60" s="32">
        <f>(6045.6+1689.8)*101</f>
        <v>781275.4</v>
      </c>
      <c r="K60" s="32">
        <v>47.930799999999998</v>
      </c>
      <c r="L60" s="33">
        <f t="shared" si="5"/>
        <v>16300.070101062367</v>
      </c>
      <c r="M60" s="26">
        <v>60</v>
      </c>
      <c r="N60" s="37">
        <f t="shared" si="6"/>
        <v>13021.256666666666</v>
      </c>
      <c r="O60" s="38">
        <f t="shared" ca="1" si="7"/>
        <v>93</v>
      </c>
      <c r="P60" s="36">
        <f t="shared" ca="1" si="1"/>
        <v>-429701.46999999986</v>
      </c>
      <c r="Q60" s="36">
        <f t="shared" ca="1" si="2"/>
        <v>1</v>
      </c>
      <c r="R60" s="49" t="s">
        <v>3017</v>
      </c>
    </row>
    <row r="61" spans="2:18" s="5" customFormat="1" ht="86.25" customHeight="1" x14ac:dyDescent="0.25">
      <c r="B61" s="27">
        <v>43061</v>
      </c>
      <c r="C61" s="24" t="s">
        <v>2349</v>
      </c>
      <c r="D61" s="26" t="s">
        <v>3014</v>
      </c>
      <c r="E61" s="26" t="s">
        <v>3032</v>
      </c>
      <c r="F61" s="26" t="s">
        <v>3033</v>
      </c>
      <c r="G61" s="29" t="s">
        <v>28</v>
      </c>
      <c r="H61" s="26" t="s">
        <v>3009</v>
      </c>
      <c r="I61" s="26" t="s">
        <v>3010</v>
      </c>
      <c r="J61" s="32">
        <f>(5513.26+1689.75)*4</f>
        <v>28812.04</v>
      </c>
      <c r="K61" s="32">
        <v>47.930799999999998</v>
      </c>
      <c r="L61" s="33">
        <f t="shared" si="5"/>
        <v>601.11744431555496</v>
      </c>
      <c r="M61" s="26">
        <v>60</v>
      </c>
      <c r="N61" s="37">
        <f t="shared" si="6"/>
        <v>480.20066666666668</v>
      </c>
      <c r="O61" s="38">
        <f t="shared" ca="1" si="7"/>
        <v>93</v>
      </c>
      <c r="P61" s="36">
        <f t="shared" ca="1" si="1"/>
        <v>-15846.622000000003</v>
      </c>
      <c r="Q61" s="36">
        <f t="shared" ca="1" si="2"/>
        <v>1</v>
      </c>
      <c r="R61" s="49" t="s">
        <v>3017</v>
      </c>
    </row>
    <row r="62" spans="2:18" s="5" customFormat="1" ht="84.75" customHeight="1" x14ac:dyDescent="0.25">
      <c r="B62" s="27">
        <v>43061</v>
      </c>
      <c r="C62" s="24" t="s">
        <v>2349</v>
      </c>
      <c r="D62" s="26" t="s">
        <v>3014</v>
      </c>
      <c r="E62" s="26" t="s">
        <v>3034</v>
      </c>
      <c r="F62" s="26" t="s">
        <v>3035</v>
      </c>
      <c r="G62" s="29" t="s">
        <v>28</v>
      </c>
      <c r="H62" s="26" t="s">
        <v>3009</v>
      </c>
      <c r="I62" s="26" t="s">
        <v>3010</v>
      </c>
      <c r="J62" s="32">
        <f>(5698.49+1689.8)*6</f>
        <v>44329.74</v>
      </c>
      <c r="K62" s="32">
        <v>47.930799999999998</v>
      </c>
      <c r="L62" s="33">
        <f t="shared" si="5"/>
        <v>924.86960367863674</v>
      </c>
      <c r="M62" s="26">
        <v>60</v>
      </c>
      <c r="N62" s="37">
        <f t="shared" si="6"/>
        <v>738.82899999999995</v>
      </c>
      <c r="O62" s="38">
        <f t="shared" ca="1" si="7"/>
        <v>93</v>
      </c>
      <c r="P62" s="36">
        <f t="shared" ca="1" si="1"/>
        <v>-24381.356999999996</v>
      </c>
      <c r="Q62" s="36">
        <f t="shared" ca="1" si="2"/>
        <v>1</v>
      </c>
      <c r="R62" s="49" t="s">
        <v>3017</v>
      </c>
    </row>
    <row r="63" spans="2:18" s="5" customFormat="1" ht="77.25" customHeight="1" x14ac:dyDescent="0.25">
      <c r="B63" s="27">
        <v>43061</v>
      </c>
      <c r="C63" s="24" t="s">
        <v>2349</v>
      </c>
      <c r="D63" s="26" t="s">
        <v>3014</v>
      </c>
      <c r="E63" s="26" t="s">
        <v>3036</v>
      </c>
      <c r="F63" s="26" t="s">
        <v>3037</v>
      </c>
      <c r="G63" s="29" t="s">
        <v>28</v>
      </c>
      <c r="H63" s="26" t="s">
        <v>3009</v>
      </c>
      <c r="I63" s="26" t="s">
        <v>3010</v>
      </c>
      <c r="J63" s="32">
        <f>(6045.6+1689.8)*100</f>
        <v>773540</v>
      </c>
      <c r="K63" s="32">
        <v>47.930799999999998</v>
      </c>
      <c r="L63" s="33">
        <f t="shared" si="5"/>
        <v>16138.68326837858</v>
      </c>
      <c r="M63" s="26">
        <v>60</v>
      </c>
      <c r="N63" s="37">
        <f t="shared" si="6"/>
        <v>12892.333333333334</v>
      </c>
      <c r="O63" s="38">
        <f t="shared" ca="1" si="7"/>
        <v>93</v>
      </c>
      <c r="P63" s="36">
        <f t="shared" ca="1" si="1"/>
        <v>-425447</v>
      </c>
      <c r="Q63" s="36">
        <f t="shared" ca="1" si="2"/>
        <v>1</v>
      </c>
      <c r="R63" s="49" t="s">
        <v>3017</v>
      </c>
    </row>
    <row r="64" spans="2:18" s="5" customFormat="1" ht="76.5" x14ac:dyDescent="0.25">
      <c r="B64" s="27">
        <v>43087</v>
      </c>
      <c r="C64" s="24" t="s">
        <v>2349</v>
      </c>
      <c r="D64" s="26" t="s">
        <v>3038</v>
      </c>
      <c r="E64" s="26" t="s">
        <v>3039</v>
      </c>
      <c r="F64" s="26" t="s">
        <v>3040</v>
      </c>
      <c r="G64" s="29" t="s">
        <v>3041</v>
      </c>
      <c r="H64" s="26" t="s">
        <v>23</v>
      </c>
      <c r="I64" s="26" t="s">
        <v>3004</v>
      </c>
      <c r="J64" s="32">
        <v>14543.5</v>
      </c>
      <c r="K64" s="32">
        <v>48.117199999999997</v>
      </c>
      <c r="L64" s="33">
        <f t="shared" si="5"/>
        <v>302.2515857115543</v>
      </c>
      <c r="M64" s="26">
        <v>60</v>
      </c>
      <c r="N64" s="37">
        <f t="shared" si="6"/>
        <v>242.39166666666668</v>
      </c>
      <c r="O64" s="38">
        <f t="shared" ca="1" si="7"/>
        <v>92</v>
      </c>
      <c r="P64" s="36">
        <f t="shared" ca="1" si="1"/>
        <v>-7756.5333333333328</v>
      </c>
      <c r="Q64" s="36">
        <f t="shared" ca="1" si="2"/>
        <v>1</v>
      </c>
      <c r="R64" s="49" t="s">
        <v>3042</v>
      </c>
    </row>
    <row r="65" spans="2:18" s="5" customFormat="1" ht="76.5" x14ac:dyDescent="0.25">
      <c r="B65" s="27">
        <v>43087</v>
      </c>
      <c r="C65" s="24" t="s">
        <v>2349</v>
      </c>
      <c r="D65" s="26" t="s">
        <v>3038</v>
      </c>
      <c r="E65" s="26" t="s">
        <v>3043</v>
      </c>
      <c r="F65" s="26" t="s">
        <v>3040</v>
      </c>
      <c r="G65" s="29" t="s">
        <v>3041</v>
      </c>
      <c r="H65" s="26" t="s">
        <v>23</v>
      </c>
      <c r="I65" s="26" t="s">
        <v>3004</v>
      </c>
      <c r="J65" s="32">
        <v>14543.5</v>
      </c>
      <c r="K65" s="32">
        <v>48.117199999999997</v>
      </c>
      <c r="L65" s="33">
        <f t="shared" si="5"/>
        <v>302.2515857115543</v>
      </c>
      <c r="M65" s="26">
        <v>60</v>
      </c>
      <c r="N65" s="37">
        <f t="shared" si="6"/>
        <v>242.39166666666668</v>
      </c>
      <c r="O65" s="38">
        <f t="shared" ca="1" si="7"/>
        <v>92</v>
      </c>
      <c r="P65" s="36">
        <f t="shared" ca="1" si="1"/>
        <v>-7756.5333333333328</v>
      </c>
      <c r="Q65" s="36">
        <f t="shared" ca="1" si="2"/>
        <v>1</v>
      </c>
      <c r="R65" s="49" t="s">
        <v>3042</v>
      </c>
    </row>
    <row r="66" spans="2:18" s="5" customFormat="1" ht="76.5" x14ac:dyDescent="0.25">
      <c r="B66" s="27">
        <v>43087</v>
      </c>
      <c r="C66" s="24" t="s">
        <v>2349</v>
      </c>
      <c r="D66" s="26" t="s">
        <v>3038</v>
      </c>
      <c r="E66" s="26" t="s">
        <v>3044</v>
      </c>
      <c r="F66" s="26" t="s">
        <v>3040</v>
      </c>
      <c r="G66" s="29" t="s">
        <v>3041</v>
      </c>
      <c r="H66" s="26" t="s">
        <v>23</v>
      </c>
      <c r="I66" s="26" t="s">
        <v>3004</v>
      </c>
      <c r="J66" s="32">
        <v>14543.5</v>
      </c>
      <c r="K66" s="32">
        <v>48.117199999999997</v>
      </c>
      <c r="L66" s="33">
        <f t="shared" si="5"/>
        <v>302.2515857115543</v>
      </c>
      <c r="M66" s="26">
        <v>60</v>
      </c>
      <c r="N66" s="37">
        <f t="shared" si="6"/>
        <v>242.39166666666668</v>
      </c>
      <c r="O66" s="38">
        <f t="shared" ca="1" si="7"/>
        <v>92</v>
      </c>
      <c r="P66" s="36">
        <f t="shared" ca="1" si="1"/>
        <v>-7756.5333333333328</v>
      </c>
      <c r="Q66" s="36">
        <f t="shared" ca="1" si="2"/>
        <v>1</v>
      </c>
      <c r="R66" s="49" t="s">
        <v>3042</v>
      </c>
    </row>
    <row r="67" spans="2:18" s="5" customFormat="1" ht="60.75" customHeight="1" x14ac:dyDescent="0.25">
      <c r="B67" s="27">
        <v>43087</v>
      </c>
      <c r="C67" s="24" t="s">
        <v>2349</v>
      </c>
      <c r="D67" s="26" t="s">
        <v>3038</v>
      </c>
      <c r="E67" s="26" t="s">
        <v>3045</v>
      </c>
      <c r="F67" s="26" t="s">
        <v>3040</v>
      </c>
      <c r="G67" s="29" t="s">
        <v>3041</v>
      </c>
      <c r="H67" s="26" t="s">
        <v>318</v>
      </c>
      <c r="I67" s="26" t="s">
        <v>3007</v>
      </c>
      <c r="J67" s="32">
        <v>14543.5</v>
      </c>
      <c r="K67" s="32">
        <v>48.117199999999997</v>
      </c>
      <c r="L67" s="33">
        <f t="shared" si="5"/>
        <v>302.2515857115543</v>
      </c>
      <c r="M67" s="26">
        <v>60</v>
      </c>
      <c r="N67" s="37">
        <f t="shared" si="6"/>
        <v>242.39166666666668</v>
      </c>
      <c r="O67" s="38">
        <f t="shared" ca="1" si="7"/>
        <v>92</v>
      </c>
      <c r="P67" s="36">
        <f t="shared" ca="1" si="1"/>
        <v>-7756.5333333333328</v>
      </c>
      <c r="Q67" s="36">
        <f t="shared" ca="1" si="2"/>
        <v>1</v>
      </c>
      <c r="R67" s="49" t="s">
        <v>3042</v>
      </c>
    </row>
    <row r="68" spans="2:18" s="5" customFormat="1" ht="67.5" customHeight="1" x14ac:dyDescent="0.25">
      <c r="B68" s="27">
        <v>43087</v>
      </c>
      <c r="C68" s="24" t="s">
        <v>2349</v>
      </c>
      <c r="D68" s="26" t="s">
        <v>3038</v>
      </c>
      <c r="E68" s="26" t="s">
        <v>3046</v>
      </c>
      <c r="F68" s="26" t="s">
        <v>3040</v>
      </c>
      <c r="G68" s="29" t="s">
        <v>3041</v>
      </c>
      <c r="H68" s="26" t="s">
        <v>318</v>
      </c>
      <c r="I68" s="26" t="s">
        <v>3007</v>
      </c>
      <c r="J68" s="32">
        <v>14543.5</v>
      </c>
      <c r="K68" s="32">
        <v>48.117199999999997</v>
      </c>
      <c r="L68" s="33">
        <f t="shared" si="5"/>
        <v>302.2515857115543</v>
      </c>
      <c r="M68" s="26">
        <v>60</v>
      </c>
      <c r="N68" s="37">
        <f t="shared" si="6"/>
        <v>242.39166666666668</v>
      </c>
      <c r="O68" s="38">
        <f t="shared" ca="1" si="7"/>
        <v>92</v>
      </c>
      <c r="P68" s="36">
        <f t="shared" ca="1" si="1"/>
        <v>-7756.5333333333328</v>
      </c>
      <c r="Q68" s="36">
        <f t="shared" ref="Q68:Q124" ca="1" si="8">IF(P68&lt;1,1,P68)</f>
        <v>1</v>
      </c>
      <c r="R68" s="49" t="s">
        <v>3042</v>
      </c>
    </row>
    <row r="69" spans="2:18" s="5" customFormat="1" ht="77.25" customHeight="1" x14ac:dyDescent="0.25">
      <c r="B69" s="27">
        <v>43087</v>
      </c>
      <c r="C69" s="24" t="s">
        <v>2349</v>
      </c>
      <c r="D69" s="26" t="s">
        <v>3038</v>
      </c>
      <c r="E69" s="26" t="s">
        <v>3047</v>
      </c>
      <c r="F69" s="26" t="s">
        <v>3040</v>
      </c>
      <c r="G69" s="29" t="s">
        <v>3041</v>
      </c>
      <c r="H69" s="26" t="s">
        <v>3009</v>
      </c>
      <c r="I69" s="26" t="s">
        <v>3010</v>
      </c>
      <c r="J69" s="32">
        <v>14543.5</v>
      </c>
      <c r="K69" s="32">
        <v>48.117199999999997</v>
      </c>
      <c r="L69" s="33">
        <f t="shared" si="5"/>
        <v>302.2515857115543</v>
      </c>
      <c r="M69" s="26">
        <v>60</v>
      </c>
      <c r="N69" s="37">
        <f t="shared" si="6"/>
        <v>242.39166666666668</v>
      </c>
      <c r="O69" s="38">
        <f t="shared" ca="1" si="7"/>
        <v>92</v>
      </c>
      <c r="P69" s="36">
        <f t="shared" ca="1" si="1"/>
        <v>-7756.5333333333328</v>
      </c>
      <c r="Q69" s="36">
        <f t="shared" ca="1" si="8"/>
        <v>1</v>
      </c>
      <c r="R69" s="49" t="s">
        <v>3042</v>
      </c>
    </row>
    <row r="70" spans="2:18" s="5" customFormat="1" ht="81" customHeight="1" x14ac:dyDescent="0.25">
      <c r="B70" s="27">
        <v>43087</v>
      </c>
      <c r="C70" s="24" t="s">
        <v>2349</v>
      </c>
      <c r="D70" s="26" t="s">
        <v>3038</v>
      </c>
      <c r="E70" s="26" t="s">
        <v>3048</v>
      </c>
      <c r="F70" s="26" t="s">
        <v>3040</v>
      </c>
      <c r="G70" s="29" t="s">
        <v>3041</v>
      </c>
      <c r="H70" s="26" t="s">
        <v>3009</v>
      </c>
      <c r="I70" s="26" t="s">
        <v>3010</v>
      </c>
      <c r="J70" s="32">
        <v>14543.5</v>
      </c>
      <c r="K70" s="32">
        <v>48.117199999999997</v>
      </c>
      <c r="L70" s="33">
        <f t="shared" si="5"/>
        <v>302.2515857115543</v>
      </c>
      <c r="M70" s="26">
        <v>60</v>
      </c>
      <c r="N70" s="37">
        <f t="shared" si="6"/>
        <v>242.39166666666668</v>
      </c>
      <c r="O70" s="38">
        <f t="shared" ca="1" si="7"/>
        <v>92</v>
      </c>
      <c r="P70" s="36">
        <f t="shared" ca="1" si="1"/>
        <v>-7756.5333333333328</v>
      </c>
      <c r="Q70" s="36">
        <f t="shared" ca="1" si="8"/>
        <v>1</v>
      </c>
      <c r="R70" s="49" t="s">
        <v>3042</v>
      </c>
    </row>
    <row r="71" spans="2:18" s="5" customFormat="1" ht="60.75" customHeight="1" x14ac:dyDescent="0.25">
      <c r="B71" s="27">
        <v>43087</v>
      </c>
      <c r="C71" s="24" t="s">
        <v>2349</v>
      </c>
      <c r="D71" s="26" t="s">
        <v>3038</v>
      </c>
      <c r="E71" s="26" t="s">
        <v>3049</v>
      </c>
      <c r="F71" s="26" t="s">
        <v>3040</v>
      </c>
      <c r="G71" s="29" t="s">
        <v>3041</v>
      </c>
      <c r="H71" s="26" t="s">
        <v>3012</v>
      </c>
      <c r="I71" s="26" t="s">
        <v>3013</v>
      </c>
      <c r="J71" s="32">
        <v>14543.5</v>
      </c>
      <c r="K71" s="32">
        <v>48.117199999999997</v>
      </c>
      <c r="L71" s="33">
        <f t="shared" si="5"/>
        <v>302.2515857115543</v>
      </c>
      <c r="M71" s="26">
        <v>60</v>
      </c>
      <c r="N71" s="37">
        <f t="shared" si="6"/>
        <v>242.39166666666668</v>
      </c>
      <c r="O71" s="38">
        <f t="shared" ca="1" si="7"/>
        <v>92</v>
      </c>
      <c r="P71" s="36">
        <f t="shared" ca="1" si="1"/>
        <v>-7756.5333333333328</v>
      </c>
      <c r="Q71" s="36">
        <f t="shared" ca="1" si="8"/>
        <v>1</v>
      </c>
      <c r="R71" s="49" t="s">
        <v>3042</v>
      </c>
    </row>
    <row r="72" spans="2:18" s="5" customFormat="1" ht="62.25" customHeight="1" x14ac:dyDescent="0.25">
      <c r="B72" s="27">
        <v>43087</v>
      </c>
      <c r="C72" s="24" t="s">
        <v>2349</v>
      </c>
      <c r="D72" s="26" t="s">
        <v>3038</v>
      </c>
      <c r="E72" s="26" t="s">
        <v>3050</v>
      </c>
      <c r="F72" s="26" t="s">
        <v>3040</v>
      </c>
      <c r="G72" s="29" t="s">
        <v>3041</v>
      </c>
      <c r="H72" s="26" t="s">
        <v>3012</v>
      </c>
      <c r="I72" s="26" t="s">
        <v>3013</v>
      </c>
      <c r="J72" s="32">
        <v>14543.5</v>
      </c>
      <c r="K72" s="32">
        <v>48.117199999999997</v>
      </c>
      <c r="L72" s="33">
        <f t="shared" si="5"/>
        <v>302.2515857115543</v>
      </c>
      <c r="M72" s="26">
        <v>60</v>
      </c>
      <c r="N72" s="37">
        <f t="shared" si="6"/>
        <v>242.39166666666668</v>
      </c>
      <c r="O72" s="38">
        <f t="shared" ca="1" si="7"/>
        <v>92</v>
      </c>
      <c r="P72" s="36">
        <f t="shared" ca="1" si="1"/>
        <v>-7756.5333333333328</v>
      </c>
      <c r="Q72" s="36">
        <f t="shared" ca="1" si="8"/>
        <v>1</v>
      </c>
      <c r="R72" s="49" t="s">
        <v>3042</v>
      </c>
    </row>
    <row r="73" spans="2:18" s="5" customFormat="1" ht="50.25" customHeight="1" x14ac:dyDescent="0.25">
      <c r="B73" s="27">
        <v>43087</v>
      </c>
      <c r="C73" s="24" t="s">
        <v>2349</v>
      </c>
      <c r="D73" s="26" t="s">
        <v>3038</v>
      </c>
      <c r="E73" s="26" t="s">
        <v>3051</v>
      </c>
      <c r="F73" s="26" t="s">
        <v>3052</v>
      </c>
      <c r="G73" s="29" t="s">
        <v>3053</v>
      </c>
      <c r="H73" s="26" t="s">
        <v>318</v>
      </c>
      <c r="I73" s="26" t="s">
        <v>3007</v>
      </c>
      <c r="J73" s="32">
        <v>4100.5</v>
      </c>
      <c r="K73" s="32">
        <v>48.117199999999997</v>
      </c>
      <c r="L73" s="33">
        <f t="shared" si="5"/>
        <v>85.219006924758716</v>
      </c>
      <c r="M73" s="26">
        <v>60</v>
      </c>
      <c r="N73" s="37">
        <f t="shared" si="6"/>
        <v>68.341666666666669</v>
      </c>
      <c r="O73" s="38">
        <f t="shared" ca="1" si="7"/>
        <v>92</v>
      </c>
      <c r="P73" s="36">
        <f t="shared" ref="P73:P136" ca="1" si="9">IF(OR(J73=0,M73=0,O73=0),0,J73-(N73*O73))</f>
        <v>-2186.9333333333334</v>
      </c>
      <c r="Q73" s="36">
        <f t="shared" ca="1" si="8"/>
        <v>1</v>
      </c>
      <c r="R73" s="49" t="s">
        <v>3042</v>
      </c>
    </row>
    <row r="74" spans="2:18" s="5" customFormat="1" ht="68.25" customHeight="1" x14ac:dyDescent="0.25">
      <c r="B74" s="27">
        <v>43087</v>
      </c>
      <c r="C74" s="24" t="s">
        <v>2349</v>
      </c>
      <c r="D74" s="26" t="s">
        <v>3038</v>
      </c>
      <c r="E74" s="26" t="s">
        <v>3054</v>
      </c>
      <c r="F74" s="26" t="s">
        <v>3055</v>
      </c>
      <c r="G74" s="29" t="s">
        <v>3053</v>
      </c>
      <c r="H74" s="26" t="s">
        <v>318</v>
      </c>
      <c r="I74" s="26" t="s">
        <v>3007</v>
      </c>
      <c r="J74" s="32">
        <v>4100.5</v>
      </c>
      <c r="K74" s="32">
        <v>48.117199999999997</v>
      </c>
      <c r="L74" s="33">
        <f t="shared" si="5"/>
        <v>85.219006924758716</v>
      </c>
      <c r="M74" s="26">
        <v>60</v>
      </c>
      <c r="N74" s="37">
        <f t="shared" si="6"/>
        <v>68.341666666666669</v>
      </c>
      <c r="O74" s="38">
        <f t="shared" ca="1" si="7"/>
        <v>92</v>
      </c>
      <c r="P74" s="36">
        <f t="shared" ca="1" si="9"/>
        <v>-2186.9333333333334</v>
      </c>
      <c r="Q74" s="36">
        <f t="shared" ca="1" si="8"/>
        <v>1</v>
      </c>
      <c r="R74" s="49" t="s">
        <v>3042</v>
      </c>
    </row>
    <row r="75" spans="2:18" s="5" customFormat="1" ht="64.5" customHeight="1" x14ac:dyDescent="0.25">
      <c r="B75" s="27">
        <v>43087</v>
      </c>
      <c r="C75" s="24" t="s">
        <v>2349</v>
      </c>
      <c r="D75" s="26" t="s">
        <v>3038</v>
      </c>
      <c r="E75" s="26" t="s">
        <v>3056</v>
      </c>
      <c r="F75" s="26" t="s">
        <v>3057</v>
      </c>
      <c r="G75" s="29" t="s">
        <v>3053</v>
      </c>
      <c r="H75" s="26" t="s">
        <v>318</v>
      </c>
      <c r="I75" s="26" t="s">
        <v>3007</v>
      </c>
      <c r="J75" s="32">
        <v>4100.5</v>
      </c>
      <c r="K75" s="32">
        <v>48.117199999999997</v>
      </c>
      <c r="L75" s="33">
        <f t="shared" si="5"/>
        <v>85.219006924758716</v>
      </c>
      <c r="M75" s="26">
        <v>60</v>
      </c>
      <c r="N75" s="37">
        <f t="shared" si="6"/>
        <v>68.341666666666669</v>
      </c>
      <c r="O75" s="38">
        <f t="shared" ca="1" si="7"/>
        <v>92</v>
      </c>
      <c r="P75" s="36">
        <f t="shared" ca="1" si="9"/>
        <v>-2186.9333333333334</v>
      </c>
      <c r="Q75" s="36">
        <f t="shared" ca="1" si="8"/>
        <v>1</v>
      </c>
      <c r="R75" s="49" t="s">
        <v>3042</v>
      </c>
    </row>
    <row r="76" spans="2:18" s="5" customFormat="1" ht="51.75" customHeight="1" x14ac:dyDescent="0.25">
      <c r="B76" s="27">
        <v>43087</v>
      </c>
      <c r="C76" s="24" t="s">
        <v>2349</v>
      </c>
      <c r="D76" s="26" t="s">
        <v>3038</v>
      </c>
      <c r="E76" s="26" t="s">
        <v>3058</v>
      </c>
      <c r="F76" s="26" t="s">
        <v>3059</v>
      </c>
      <c r="G76" s="29" t="s">
        <v>3053</v>
      </c>
      <c r="H76" s="26" t="s">
        <v>318</v>
      </c>
      <c r="I76" s="26" t="s">
        <v>3007</v>
      </c>
      <c r="J76" s="32">
        <v>4100.5</v>
      </c>
      <c r="K76" s="32">
        <v>48.117199999999997</v>
      </c>
      <c r="L76" s="33">
        <f t="shared" si="5"/>
        <v>85.219006924758716</v>
      </c>
      <c r="M76" s="26">
        <v>60</v>
      </c>
      <c r="N76" s="37">
        <f t="shared" si="6"/>
        <v>68.341666666666669</v>
      </c>
      <c r="O76" s="38">
        <f t="shared" ca="1" si="7"/>
        <v>92</v>
      </c>
      <c r="P76" s="36">
        <f t="shared" ca="1" si="9"/>
        <v>-2186.9333333333334</v>
      </c>
      <c r="Q76" s="36">
        <f t="shared" ca="1" si="8"/>
        <v>1</v>
      </c>
      <c r="R76" s="49" t="s">
        <v>3042</v>
      </c>
    </row>
    <row r="77" spans="2:18" s="5" customFormat="1" ht="76.5" x14ac:dyDescent="0.25">
      <c r="B77" s="27">
        <v>43087</v>
      </c>
      <c r="C77" s="24" t="s">
        <v>2349</v>
      </c>
      <c r="D77" s="26" t="s">
        <v>3038</v>
      </c>
      <c r="E77" s="26" t="s">
        <v>3060</v>
      </c>
      <c r="F77" s="26" t="s">
        <v>3061</v>
      </c>
      <c r="G77" s="29" t="s">
        <v>3062</v>
      </c>
      <c r="H77" s="26" t="s">
        <v>23</v>
      </c>
      <c r="I77" s="26" t="s">
        <v>3004</v>
      </c>
      <c r="J77" s="32">
        <v>5333.6</v>
      </c>
      <c r="K77" s="32">
        <v>48.117199999999997</v>
      </c>
      <c r="L77" s="33">
        <f t="shared" si="5"/>
        <v>110.84601764026171</v>
      </c>
      <c r="M77" s="26">
        <v>60</v>
      </c>
      <c r="N77" s="37">
        <f t="shared" si="6"/>
        <v>88.893333333333345</v>
      </c>
      <c r="O77" s="38">
        <f t="shared" ca="1" si="7"/>
        <v>92</v>
      </c>
      <c r="P77" s="36">
        <f t="shared" ca="1" si="9"/>
        <v>-2844.586666666667</v>
      </c>
      <c r="Q77" s="36">
        <f t="shared" ca="1" si="8"/>
        <v>1</v>
      </c>
      <c r="R77" s="49" t="s">
        <v>3042</v>
      </c>
    </row>
    <row r="78" spans="2:18" s="5" customFormat="1" ht="62.25" customHeight="1" x14ac:dyDescent="0.25">
      <c r="B78" s="27">
        <v>43087</v>
      </c>
      <c r="C78" s="24" t="s">
        <v>2349</v>
      </c>
      <c r="D78" s="26" t="s">
        <v>3038</v>
      </c>
      <c r="E78" s="26" t="s">
        <v>3063</v>
      </c>
      <c r="F78" s="26" t="s">
        <v>3061</v>
      </c>
      <c r="G78" s="29" t="s">
        <v>3062</v>
      </c>
      <c r="H78" s="26" t="s">
        <v>318</v>
      </c>
      <c r="I78" s="26" t="s">
        <v>3007</v>
      </c>
      <c r="J78" s="32">
        <v>5333.6</v>
      </c>
      <c r="K78" s="32">
        <v>48.117199999999997</v>
      </c>
      <c r="L78" s="33">
        <f t="shared" si="5"/>
        <v>110.84601764026171</v>
      </c>
      <c r="M78" s="26">
        <v>60</v>
      </c>
      <c r="N78" s="37">
        <f t="shared" si="6"/>
        <v>88.893333333333345</v>
      </c>
      <c r="O78" s="38">
        <f t="shared" ca="1" si="7"/>
        <v>92</v>
      </c>
      <c r="P78" s="36">
        <f t="shared" ca="1" si="9"/>
        <v>-2844.586666666667</v>
      </c>
      <c r="Q78" s="36">
        <f t="shared" ca="1" si="8"/>
        <v>1</v>
      </c>
      <c r="R78" s="49" t="s">
        <v>3042</v>
      </c>
    </row>
    <row r="79" spans="2:18" s="5" customFormat="1" ht="63.75" customHeight="1" x14ac:dyDescent="0.25">
      <c r="B79" s="27">
        <v>43087</v>
      </c>
      <c r="C79" s="24" t="s">
        <v>2349</v>
      </c>
      <c r="D79" s="26" t="s">
        <v>3038</v>
      </c>
      <c r="E79" s="26" t="s">
        <v>3064</v>
      </c>
      <c r="F79" s="26" t="s">
        <v>3061</v>
      </c>
      <c r="G79" s="29" t="s">
        <v>3062</v>
      </c>
      <c r="H79" s="26" t="s">
        <v>318</v>
      </c>
      <c r="I79" s="26" t="s">
        <v>3007</v>
      </c>
      <c r="J79" s="32">
        <v>5333.6</v>
      </c>
      <c r="K79" s="32">
        <v>48.117199999999997</v>
      </c>
      <c r="L79" s="33">
        <f t="shared" si="5"/>
        <v>110.84601764026171</v>
      </c>
      <c r="M79" s="26">
        <v>60</v>
      </c>
      <c r="N79" s="37">
        <f t="shared" si="6"/>
        <v>88.893333333333345</v>
      </c>
      <c r="O79" s="38">
        <f t="shared" ca="1" si="7"/>
        <v>92</v>
      </c>
      <c r="P79" s="36">
        <f t="shared" ca="1" si="9"/>
        <v>-2844.586666666667</v>
      </c>
      <c r="Q79" s="36">
        <f t="shared" ca="1" si="8"/>
        <v>1</v>
      </c>
      <c r="R79" s="49" t="s">
        <v>3042</v>
      </c>
    </row>
    <row r="80" spans="2:18" s="5" customFormat="1" ht="75.75" customHeight="1" x14ac:dyDescent="0.25">
      <c r="B80" s="27">
        <v>43087</v>
      </c>
      <c r="C80" s="24" t="s">
        <v>2349</v>
      </c>
      <c r="D80" s="26" t="s">
        <v>3038</v>
      </c>
      <c r="E80" s="26" t="s">
        <v>3065</v>
      </c>
      <c r="F80" s="26" t="s">
        <v>3061</v>
      </c>
      <c r="G80" s="29" t="s">
        <v>3062</v>
      </c>
      <c r="H80" s="26" t="s">
        <v>3009</v>
      </c>
      <c r="I80" s="26" t="s">
        <v>3010</v>
      </c>
      <c r="J80" s="32">
        <v>5333.6</v>
      </c>
      <c r="K80" s="32">
        <v>48.117199999999997</v>
      </c>
      <c r="L80" s="33">
        <f t="shared" si="5"/>
        <v>110.84601764026171</v>
      </c>
      <c r="M80" s="26">
        <v>60</v>
      </c>
      <c r="N80" s="37">
        <f t="shared" si="6"/>
        <v>88.893333333333345</v>
      </c>
      <c r="O80" s="38">
        <f t="shared" ca="1" si="7"/>
        <v>92</v>
      </c>
      <c r="P80" s="36">
        <f t="shared" ca="1" si="9"/>
        <v>-2844.586666666667</v>
      </c>
      <c r="Q80" s="36">
        <f t="shared" ca="1" si="8"/>
        <v>1</v>
      </c>
      <c r="R80" s="49" t="s">
        <v>3042</v>
      </c>
    </row>
    <row r="81" spans="2:18" s="5" customFormat="1" ht="72" customHeight="1" x14ac:dyDescent="0.25">
      <c r="B81" s="27">
        <v>43087</v>
      </c>
      <c r="C81" s="24" t="s">
        <v>2349</v>
      </c>
      <c r="D81" s="26" t="s">
        <v>3038</v>
      </c>
      <c r="E81" s="26" t="s">
        <v>3066</v>
      </c>
      <c r="F81" s="26" t="s">
        <v>3067</v>
      </c>
      <c r="G81" s="29" t="s">
        <v>3062</v>
      </c>
      <c r="H81" s="26" t="s">
        <v>3009</v>
      </c>
      <c r="I81" s="26" t="s">
        <v>3010</v>
      </c>
      <c r="J81" s="32">
        <v>5333.6</v>
      </c>
      <c r="K81" s="32">
        <v>48.117199999999997</v>
      </c>
      <c r="L81" s="33">
        <f t="shared" si="5"/>
        <v>110.84601764026171</v>
      </c>
      <c r="M81" s="26">
        <v>60</v>
      </c>
      <c r="N81" s="37">
        <f t="shared" si="6"/>
        <v>88.893333333333345</v>
      </c>
      <c r="O81" s="38">
        <f t="shared" ca="1" si="7"/>
        <v>92</v>
      </c>
      <c r="P81" s="36">
        <f t="shared" ca="1" si="9"/>
        <v>-2844.586666666667</v>
      </c>
      <c r="Q81" s="36">
        <f t="shared" ca="1" si="8"/>
        <v>1</v>
      </c>
      <c r="R81" s="49" t="s">
        <v>3042</v>
      </c>
    </row>
    <row r="82" spans="2:18" s="5" customFormat="1" ht="66" customHeight="1" x14ac:dyDescent="0.25">
      <c r="B82" s="27">
        <v>43087</v>
      </c>
      <c r="C82" s="24" t="s">
        <v>2349</v>
      </c>
      <c r="D82" s="26" t="s">
        <v>3038</v>
      </c>
      <c r="E82" s="26" t="s">
        <v>3068</v>
      </c>
      <c r="F82" s="26" t="s">
        <v>3061</v>
      </c>
      <c r="G82" s="29" t="s">
        <v>3062</v>
      </c>
      <c r="H82" s="26" t="s">
        <v>3012</v>
      </c>
      <c r="I82" s="26" t="s">
        <v>3013</v>
      </c>
      <c r="J82" s="32">
        <v>5333.6</v>
      </c>
      <c r="K82" s="32">
        <v>48.117199999999997</v>
      </c>
      <c r="L82" s="33">
        <f t="shared" si="5"/>
        <v>110.84601764026171</v>
      </c>
      <c r="M82" s="26">
        <v>60</v>
      </c>
      <c r="N82" s="37">
        <f t="shared" si="6"/>
        <v>88.893333333333345</v>
      </c>
      <c r="O82" s="38">
        <f t="shared" ca="1" si="7"/>
        <v>92</v>
      </c>
      <c r="P82" s="36">
        <f t="shared" ca="1" si="9"/>
        <v>-2844.586666666667</v>
      </c>
      <c r="Q82" s="36">
        <f t="shared" ca="1" si="8"/>
        <v>1</v>
      </c>
      <c r="R82" s="49" t="s">
        <v>3042</v>
      </c>
    </row>
    <row r="83" spans="2:18" s="5" customFormat="1" ht="62.25" customHeight="1" x14ac:dyDescent="0.25">
      <c r="B83" s="27">
        <v>43087</v>
      </c>
      <c r="C83" s="24" t="s">
        <v>2349</v>
      </c>
      <c r="D83" s="26" t="s">
        <v>3038</v>
      </c>
      <c r="E83" s="26" t="s">
        <v>3069</v>
      </c>
      <c r="F83" s="26" t="s">
        <v>3067</v>
      </c>
      <c r="G83" s="29" t="s">
        <v>3062</v>
      </c>
      <c r="H83" s="26" t="s">
        <v>3012</v>
      </c>
      <c r="I83" s="26" t="s">
        <v>3013</v>
      </c>
      <c r="J83" s="32">
        <v>5333.6</v>
      </c>
      <c r="K83" s="32">
        <v>48.117199999999997</v>
      </c>
      <c r="L83" s="33">
        <f t="shared" si="5"/>
        <v>110.84601764026171</v>
      </c>
      <c r="M83" s="26">
        <v>60</v>
      </c>
      <c r="N83" s="37">
        <f t="shared" si="6"/>
        <v>88.893333333333345</v>
      </c>
      <c r="O83" s="38">
        <f t="shared" ca="1" si="7"/>
        <v>92</v>
      </c>
      <c r="P83" s="36">
        <f t="shared" ca="1" si="9"/>
        <v>-2844.586666666667</v>
      </c>
      <c r="Q83" s="36">
        <f t="shared" ca="1" si="8"/>
        <v>1</v>
      </c>
      <c r="R83" s="49" t="s">
        <v>3042</v>
      </c>
    </row>
    <row r="84" spans="2:18" s="5" customFormat="1" ht="75.75" customHeight="1" x14ac:dyDescent="0.25">
      <c r="B84" s="27">
        <v>43087</v>
      </c>
      <c r="C84" s="24" t="s">
        <v>2349</v>
      </c>
      <c r="D84" s="26" t="s">
        <v>3038</v>
      </c>
      <c r="E84" s="26" t="s">
        <v>3070</v>
      </c>
      <c r="F84" s="26" t="s">
        <v>3071</v>
      </c>
      <c r="G84" s="29" t="s">
        <v>3072</v>
      </c>
      <c r="H84" s="26" t="s">
        <v>23</v>
      </c>
      <c r="I84" s="26" t="s">
        <v>3004</v>
      </c>
      <c r="J84" s="32">
        <v>13275</v>
      </c>
      <c r="K84" s="32">
        <v>48.117199999999997</v>
      </c>
      <c r="L84" s="33">
        <f t="shared" si="5"/>
        <v>275.88887133914693</v>
      </c>
      <c r="M84" s="26">
        <v>60</v>
      </c>
      <c r="N84" s="37">
        <f t="shared" si="6"/>
        <v>221.25</v>
      </c>
      <c r="O84" s="38">
        <f t="shared" ca="1" si="7"/>
        <v>92</v>
      </c>
      <c r="P84" s="36">
        <f t="shared" ca="1" si="9"/>
        <v>-7080</v>
      </c>
      <c r="Q84" s="36">
        <f t="shared" ca="1" si="8"/>
        <v>1</v>
      </c>
      <c r="R84" s="49" t="s">
        <v>3042</v>
      </c>
    </row>
    <row r="85" spans="2:18" s="5" customFormat="1" ht="72.75" customHeight="1" x14ac:dyDescent="0.25">
      <c r="B85" s="27">
        <v>43087</v>
      </c>
      <c r="C85" s="24" t="s">
        <v>2349</v>
      </c>
      <c r="D85" s="26" t="s">
        <v>3038</v>
      </c>
      <c r="E85" s="26" t="s">
        <v>3073</v>
      </c>
      <c r="F85" s="26" t="s">
        <v>3071</v>
      </c>
      <c r="G85" s="29" t="s">
        <v>3072</v>
      </c>
      <c r="H85" s="26" t="s">
        <v>23</v>
      </c>
      <c r="I85" s="26" t="s">
        <v>3004</v>
      </c>
      <c r="J85" s="32">
        <v>13275</v>
      </c>
      <c r="K85" s="32">
        <v>48.117199999999997</v>
      </c>
      <c r="L85" s="33">
        <f t="shared" si="5"/>
        <v>275.88887133914693</v>
      </c>
      <c r="M85" s="26">
        <v>60</v>
      </c>
      <c r="N85" s="37">
        <f t="shared" si="6"/>
        <v>221.25</v>
      </c>
      <c r="O85" s="38">
        <f t="shared" ca="1" si="7"/>
        <v>92</v>
      </c>
      <c r="P85" s="36">
        <f t="shared" ca="1" si="9"/>
        <v>-7080</v>
      </c>
      <c r="Q85" s="36">
        <f t="shared" ca="1" si="8"/>
        <v>1</v>
      </c>
      <c r="R85" s="49" t="s">
        <v>3042</v>
      </c>
    </row>
    <row r="86" spans="2:18" s="5" customFormat="1" ht="61.5" customHeight="1" x14ac:dyDescent="0.25">
      <c r="B86" s="27">
        <v>43087</v>
      </c>
      <c r="C86" s="24" t="s">
        <v>2349</v>
      </c>
      <c r="D86" s="26" t="s">
        <v>3038</v>
      </c>
      <c r="E86" s="26" t="s">
        <v>3074</v>
      </c>
      <c r="F86" s="26" t="s">
        <v>3071</v>
      </c>
      <c r="G86" s="29" t="s">
        <v>3072</v>
      </c>
      <c r="H86" s="26" t="s">
        <v>318</v>
      </c>
      <c r="I86" s="26" t="s">
        <v>3007</v>
      </c>
      <c r="J86" s="32">
        <v>13275</v>
      </c>
      <c r="K86" s="32">
        <v>48.117199999999997</v>
      </c>
      <c r="L86" s="33">
        <f t="shared" si="5"/>
        <v>275.88887133914693</v>
      </c>
      <c r="M86" s="26">
        <v>60</v>
      </c>
      <c r="N86" s="37">
        <f t="shared" si="6"/>
        <v>221.25</v>
      </c>
      <c r="O86" s="38">
        <f t="shared" ca="1" si="7"/>
        <v>92</v>
      </c>
      <c r="P86" s="36">
        <f t="shared" ca="1" si="9"/>
        <v>-7080</v>
      </c>
      <c r="Q86" s="36">
        <f t="shared" ca="1" si="8"/>
        <v>1</v>
      </c>
      <c r="R86" s="49" t="s">
        <v>3042</v>
      </c>
    </row>
    <row r="87" spans="2:18" s="5" customFormat="1" ht="70.5" customHeight="1" x14ac:dyDescent="0.25">
      <c r="B87" s="27">
        <v>43087</v>
      </c>
      <c r="C87" s="24" t="s">
        <v>2349</v>
      </c>
      <c r="D87" s="26" t="s">
        <v>3038</v>
      </c>
      <c r="E87" s="26" t="s">
        <v>3075</v>
      </c>
      <c r="F87" s="26" t="s">
        <v>3071</v>
      </c>
      <c r="G87" s="29" t="s">
        <v>3072</v>
      </c>
      <c r="H87" s="26" t="s">
        <v>318</v>
      </c>
      <c r="I87" s="26" t="s">
        <v>3007</v>
      </c>
      <c r="J87" s="32">
        <v>13275</v>
      </c>
      <c r="K87" s="32">
        <v>48.117199999999997</v>
      </c>
      <c r="L87" s="33">
        <f t="shared" si="5"/>
        <v>275.88887133914693</v>
      </c>
      <c r="M87" s="26">
        <v>60</v>
      </c>
      <c r="N87" s="37">
        <f t="shared" si="6"/>
        <v>221.25</v>
      </c>
      <c r="O87" s="38">
        <f t="shared" ca="1" si="7"/>
        <v>92</v>
      </c>
      <c r="P87" s="36">
        <f t="shared" ca="1" si="9"/>
        <v>-7080</v>
      </c>
      <c r="Q87" s="36">
        <f t="shared" ca="1" si="8"/>
        <v>1</v>
      </c>
      <c r="R87" s="49" t="s">
        <v>3042</v>
      </c>
    </row>
    <row r="88" spans="2:18" s="5" customFormat="1" ht="67.5" customHeight="1" x14ac:dyDescent="0.25">
      <c r="B88" s="27">
        <v>43087</v>
      </c>
      <c r="C88" s="24" t="s">
        <v>2349</v>
      </c>
      <c r="D88" s="26" t="s">
        <v>3038</v>
      </c>
      <c r="E88" s="26" t="s">
        <v>3076</v>
      </c>
      <c r="F88" s="26" t="s">
        <v>3071</v>
      </c>
      <c r="G88" s="29" t="s">
        <v>3072</v>
      </c>
      <c r="H88" s="26" t="s">
        <v>3009</v>
      </c>
      <c r="I88" s="26" t="s">
        <v>3010</v>
      </c>
      <c r="J88" s="32">
        <v>13275</v>
      </c>
      <c r="K88" s="32">
        <v>48.117199999999997</v>
      </c>
      <c r="L88" s="33">
        <f t="shared" ref="L88:L138" si="10">+J88/K88</f>
        <v>275.88887133914693</v>
      </c>
      <c r="M88" s="26">
        <v>60</v>
      </c>
      <c r="N88" s="37">
        <f t="shared" ref="N88:N138" si="11">IF(AND(J88&lt;&gt;0,M88&lt;&gt;0),J88/M88,0)</f>
        <v>221.25</v>
      </c>
      <c r="O88" s="38">
        <f t="shared" ref="O88:O141" ca="1" si="12">IF(B88&lt;&gt;0,(ROUND((NOW()-B88)/30,0)),0)</f>
        <v>92</v>
      </c>
      <c r="P88" s="36">
        <f t="shared" ca="1" si="9"/>
        <v>-7080</v>
      </c>
      <c r="Q88" s="36">
        <f t="shared" ca="1" si="8"/>
        <v>1</v>
      </c>
      <c r="R88" s="49" t="s">
        <v>3042</v>
      </c>
    </row>
    <row r="89" spans="2:18" s="5" customFormat="1" ht="76.5" customHeight="1" x14ac:dyDescent="0.25">
      <c r="B89" s="27">
        <v>43087</v>
      </c>
      <c r="C89" s="24" t="s">
        <v>2349</v>
      </c>
      <c r="D89" s="26" t="s">
        <v>3038</v>
      </c>
      <c r="E89" s="26" t="s">
        <v>3077</v>
      </c>
      <c r="F89" s="26" t="s">
        <v>3071</v>
      </c>
      <c r="G89" s="29" t="s">
        <v>3072</v>
      </c>
      <c r="H89" s="26" t="s">
        <v>3009</v>
      </c>
      <c r="I89" s="26" t="s">
        <v>3010</v>
      </c>
      <c r="J89" s="32">
        <v>13275</v>
      </c>
      <c r="K89" s="32">
        <v>48.117199999999997</v>
      </c>
      <c r="L89" s="33">
        <f t="shared" si="10"/>
        <v>275.88887133914693</v>
      </c>
      <c r="M89" s="26">
        <v>60</v>
      </c>
      <c r="N89" s="37">
        <f t="shared" si="11"/>
        <v>221.25</v>
      </c>
      <c r="O89" s="38">
        <f t="shared" ca="1" si="12"/>
        <v>92</v>
      </c>
      <c r="P89" s="36">
        <f t="shared" ca="1" si="9"/>
        <v>-7080</v>
      </c>
      <c r="Q89" s="36">
        <f t="shared" ca="1" si="8"/>
        <v>1</v>
      </c>
      <c r="R89" s="49" t="s">
        <v>3042</v>
      </c>
    </row>
    <row r="90" spans="2:18" s="5" customFormat="1" ht="73.5" customHeight="1" x14ac:dyDescent="0.25">
      <c r="B90" s="27">
        <v>43087</v>
      </c>
      <c r="C90" s="24" t="s">
        <v>2349</v>
      </c>
      <c r="D90" s="26" t="s">
        <v>3038</v>
      </c>
      <c r="E90" s="26" t="s">
        <v>3078</v>
      </c>
      <c r="F90" s="26" t="s">
        <v>3079</v>
      </c>
      <c r="G90" s="29" t="s">
        <v>28</v>
      </c>
      <c r="H90" s="26" t="s">
        <v>23</v>
      </c>
      <c r="I90" s="26" t="s">
        <v>3004</v>
      </c>
      <c r="J90" s="32">
        <v>2301</v>
      </c>
      <c r="K90" s="32">
        <v>48.117199999999997</v>
      </c>
      <c r="L90" s="33">
        <f t="shared" si="10"/>
        <v>47.820737698785472</v>
      </c>
      <c r="M90" s="26">
        <v>60</v>
      </c>
      <c r="N90" s="37">
        <f t="shared" si="11"/>
        <v>38.35</v>
      </c>
      <c r="O90" s="38">
        <f t="shared" ca="1" si="12"/>
        <v>92</v>
      </c>
      <c r="P90" s="36">
        <f t="shared" ca="1" si="9"/>
        <v>-1227.2000000000003</v>
      </c>
      <c r="Q90" s="36">
        <f t="shared" ca="1" si="8"/>
        <v>1</v>
      </c>
      <c r="R90" s="49" t="s">
        <v>3042</v>
      </c>
    </row>
    <row r="91" spans="2:18" s="5" customFormat="1" ht="73.5" customHeight="1" x14ac:dyDescent="0.25">
      <c r="B91" s="27">
        <v>43087</v>
      </c>
      <c r="C91" s="24" t="s">
        <v>2349</v>
      </c>
      <c r="D91" s="26" t="s">
        <v>3038</v>
      </c>
      <c r="E91" s="26" t="s">
        <v>3080</v>
      </c>
      <c r="F91" s="26" t="s">
        <v>3079</v>
      </c>
      <c r="G91" s="29" t="s">
        <v>28</v>
      </c>
      <c r="H91" s="26" t="s">
        <v>23</v>
      </c>
      <c r="I91" s="26" t="s">
        <v>3004</v>
      </c>
      <c r="J91" s="32">
        <v>2301</v>
      </c>
      <c r="K91" s="32">
        <v>48.117199999999997</v>
      </c>
      <c r="L91" s="33">
        <f t="shared" si="10"/>
        <v>47.820737698785472</v>
      </c>
      <c r="M91" s="26">
        <v>60</v>
      </c>
      <c r="N91" s="37">
        <f t="shared" si="11"/>
        <v>38.35</v>
      </c>
      <c r="O91" s="38">
        <f t="shared" ca="1" si="12"/>
        <v>92</v>
      </c>
      <c r="P91" s="36">
        <f t="shared" ca="1" si="9"/>
        <v>-1227.2000000000003</v>
      </c>
      <c r="Q91" s="36">
        <f t="shared" ca="1" si="8"/>
        <v>1</v>
      </c>
      <c r="R91" s="49" t="s">
        <v>3042</v>
      </c>
    </row>
    <row r="92" spans="2:18" s="5" customFormat="1" ht="66" customHeight="1" x14ac:dyDescent="0.25">
      <c r="B92" s="27">
        <v>43087</v>
      </c>
      <c r="C92" s="24" t="s">
        <v>2349</v>
      </c>
      <c r="D92" s="26" t="s">
        <v>3038</v>
      </c>
      <c r="E92" s="26" t="s">
        <v>3081</v>
      </c>
      <c r="F92" s="26" t="s">
        <v>3079</v>
      </c>
      <c r="G92" s="29" t="s">
        <v>28</v>
      </c>
      <c r="H92" s="26" t="s">
        <v>318</v>
      </c>
      <c r="I92" s="26" t="s">
        <v>3007</v>
      </c>
      <c r="J92" s="32">
        <v>2301</v>
      </c>
      <c r="K92" s="32">
        <v>48.117199999999997</v>
      </c>
      <c r="L92" s="33">
        <f t="shared" si="10"/>
        <v>47.820737698785472</v>
      </c>
      <c r="M92" s="26">
        <v>60</v>
      </c>
      <c r="N92" s="37">
        <f t="shared" si="11"/>
        <v>38.35</v>
      </c>
      <c r="O92" s="38">
        <f t="shared" ca="1" si="12"/>
        <v>92</v>
      </c>
      <c r="P92" s="36">
        <f t="shared" ca="1" si="9"/>
        <v>-1227.2000000000003</v>
      </c>
      <c r="Q92" s="36">
        <f t="shared" ca="1" si="8"/>
        <v>1</v>
      </c>
      <c r="R92" s="49" t="s">
        <v>3042</v>
      </c>
    </row>
    <row r="93" spans="2:18" s="5" customFormat="1" ht="66" customHeight="1" x14ac:dyDescent="0.25">
      <c r="B93" s="27">
        <v>43087</v>
      </c>
      <c r="C93" s="24" t="s">
        <v>2349</v>
      </c>
      <c r="D93" s="26" t="s">
        <v>3038</v>
      </c>
      <c r="E93" s="26" t="s">
        <v>3082</v>
      </c>
      <c r="F93" s="26" t="s">
        <v>3079</v>
      </c>
      <c r="G93" s="29" t="s">
        <v>28</v>
      </c>
      <c r="H93" s="26" t="s">
        <v>318</v>
      </c>
      <c r="I93" s="26" t="s">
        <v>3007</v>
      </c>
      <c r="J93" s="32">
        <v>2301</v>
      </c>
      <c r="K93" s="32">
        <v>48.117199999999997</v>
      </c>
      <c r="L93" s="33">
        <f t="shared" si="10"/>
        <v>47.820737698785472</v>
      </c>
      <c r="M93" s="26">
        <v>60</v>
      </c>
      <c r="N93" s="37">
        <f t="shared" si="11"/>
        <v>38.35</v>
      </c>
      <c r="O93" s="38">
        <f t="shared" ca="1" si="12"/>
        <v>92</v>
      </c>
      <c r="P93" s="36">
        <f t="shared" ca="1" si="9"/>
        <v>-1227.2000000000003</v>
      </c>
      <c r="Q93" s="36">
        <f t="shared" ca="1" si="8"/>
        <v>1</v>
      </c>
      <c r="R93" s="49" t="s">
        <v>3042</v>
      </c>
    </row>
    <row r="94" spans="2:18" s="5" customFormat="1" ht="75" customHeight="1" x14ac:dyDescent="0.25">
      <c r="B94" s="27">
        <v>43087</v>
      </c>
      <c r="C94" s="24" t="s">
        <v>2349</v>
      </c>
      <c r="D94" s="26" t="s">
        <v>3038</v>
      </c>
      <c r="E94" s="26" t="s">
        <v>3083</v>
      </c>
      <c r="F94" s="26" t="s">
        <v>3079</v>
      </c>
      <c r="G94" s="29" t="s">
        <v>28</v>
      </c>
      <c r="H94" s="26" t="s">
        <v>3009</v>
      </c>
      <c r="I94" s="26" t="s">
        <v>3010</v>
      </c>
      <c r="J94" s="32">
        <v>2301</v>
      </c>
      <c r="K94" s="32">
        <v>48.117199999999997</v>
      </c>
      <c r="L94" s="33">
        <f t="shared" si="10"/>
        <v>47.820737698785472</v>
      </c>
      <c r="M94" s="26">
        <v>60</v>
      </c>
      <c r="N94" s="37">
        <f t="shared" si="11"/>
        <v>38.35</v>
      </c>
      <c r="O94" s="38">
        <f t="shared" ca="1" si="12"/>
        <v>92</v>
      </c>
      <c r="P94" s="36">
        <f t="shared" ca="1" si="9"/>
        <v>-1227.2000000000003</v>
      </c>
      <c r="Q94" s="36">
        <f t="shared" ca="1" si="8"/>
        <v>1</v>
      </c>
      <c r="R94" s="49" t="s">
        <v>3042</v>
      </c>
    </row>
    <row r="95" spans="2:18" s="5" customFormat="1" ht="73.5" customHeight="1" x14ac:dyDescent="0.25">
      <c r="B95" s="27">
        <v>43087</v>
      </c>
      <c r="C95" s="24" t="s">
        <v>2349</v>
      </c>
      <c r="D95" s="26" t="s">
        <v>3038</v>
      </c>
      <c r="E95" s="26" t="s">
        <v>3084</v>
      </c>
      <c r="F95" s="26" t="s">
        <v>3079</v>
      </c>
      <c r="G95" s="29" t="s">
        <v>28</v>
      </c>
      <c r="H95" s="26" t="s">
        <v>3009</v>
      </c>
      <c r="I95" s="26" t="s">
        <v>3010</v>
      </c>
      <c r="J95" s="32">
        <v>2301</v>
      </c>
      <c r="K95" s="32">
        <v>48.117199999999997</v>
      </c>
      <c r="L95" s="33">
        <f t="shared" si="10"/>
        <v>47.820737698785472</v>
      </c>
      <c r="M95" s="26">
        <v>60</v>
      </c>
      <c r="N95" s="37">
        <f t="shared" si="11"/>
        <v>38.35</v>
      </c>
      <c r="O95" s="38">
        <f t="shared" ca="1" si="12"/>
        <v>92</v>
      </c>
      <c r="P95" s="36">
        <f t="shared" ca="1" si="9"/>
        <v>-1227.2000000000003</v>
      </c>
      <c r="Q95" s="36">
        <f t="shared" ca="1" si="8"/>
        <v>1</v>
      </c>
      <c r="R95" s="49" t="s">
        <v>3042</v>
      </c>
    </row>
    <row r="96" spans="2:18" s="5" customFormat="1" ht="68.25" customHeight="1" x14ac:dyDescent="0.25">
      <c r="B96" s="27">
        <v>43087</v>
      </c>
      <c r="C96" s="24" t="s">
        <v>2349</v>
      </c>
      <c r="D96" s="26" t="s">
        <v>3038</v>
      </c>
      <c r="E96" s="26" t="s">
        <v>3085</v>
      </c>
      <c r="F96" s="26" t="s">
        <v>3079</v>
      </c>
      <c r="G96" s="29" t="s">
        <v>28</v>
      </c>
      <c r="H96" s="26" t="s">
        <v>3012</v>
      </c>
      <c r="I96" s="26" t="s">
        <v>3013</v>
      </c>
      <c r="J96" s="32">
        <v>2301</v>
      </c>
      <c r="K96" s="32">
        <v>48.117199999999997</v>
      </c>
      <c r="L96" s="33">
        <f t="shared" si="10"/>
        <v>47.820737698785472</v>
      </c>
      <c r="M96" s="26">
        <v>60</v>
      </c>
      <c r="N96" s="37">
        <f t="shared" si="11"/>
        <v>38.35</v>
      </c>
      <c r="O96" s="38">
        <f t="shared" ca="1" si="12"/>
        <v>92</v>
      </c>
      <c r="P96" s="36">
        <f t="shared" ca="1" si="9"/>
        <v>-1227.2000000000003</v>
      </c>
      <c r="Q96" s="36">
        <f t="shared" ca="1" si="8"/>
        <v>1</v>
      </c>
      <c r="R96" s="49" t="s">
        <v>3042</v>
      </c>
    </row>
    <row r="97" spans="1:18" s="5" customFormat="1" ht="63.75" customHeight="1" x14ac:dyDescent="0.25">
      <c r="A97" s="5" t="s">
        <v>2048</v>
      </c>
      <c r="B97" s="27">
        <v>43087</v>
      </c>
      <c r="C97" s="24" t="s">
        <v>2349</v>
      </c>
      <c r="D97" s="26" t="s">
        <v>3038</v>
      </c>
      <c r="E97" s="26" t="s">
        <v>3086</v>
      </c>
      <c r="F97" s="26" t="s">
        <v>3079</v>
      </c>
      <c r="G97" s="29" t="s">
        <v>28</v>
      </c>
      <c r="H97" s="26" t="s">
        <v>3012</v>
      </c>
      <c r="I97" s="26" t="s">
        <v>3013</v>
      </c>
      <c r="J97" s="32">
        <v>2301</v>
      </c>
      <c r="K97" s="32">
        <v>48.117199999999997</v>
      </c>
      <c r="L97" s="33">
        <f t="shared" si="10"/>
        <v>47.820737698785472</v>
      </c>
      <c r="M97" s="26">
        <v>60</v>
      </c>
      <c r="N97" s="37">
        <f t="shared" si="11"/>
        <v>38.35</v>
      </c>
      <c r="O97" s="38">
        <f t="shared" ca="1" si="12"/>
        <v>92</v>
      </c>
      <c r="P97" s="36">
        <f t="shared" ca="1" si="9"/>
        <v>-1227.2000000000003</v>
      </c>
      <c r="Q97" s="36">
        <f t="shared" ca="1" si="8"/>
        <v>1</v>
      </c>
      <c r="R97" s="49" t="s">
        <v>3042</v>
      </c>
    </row>
    <row r="98" spans="1:18" s="5" customFormat="1" ht="79.5" customHeight="1" x14ac:dyDescent="0.25">
      <c r="B98" s="27">
        <v>43087</v>
      </c>
      <c r="C98" s="24" t="s">
        <v>2349</v>
      </c>
      <c r="D98" s="26" t="s">
        <v>3087</v>
      </c>
      <c r="E98" s="26" t="s">
        <v>3088</v>
      </c>
      <c r="F98" s="26" t="s">
        <v>3089</v>
      </c>
      <c r="G98" s="29" t="s">
        <v>3090</v>
      </c>
      <c r="H98" s="26" t="s">
        <v>23</v>
      </c>
      <c r="I98" s="26" t="s">
        <v>3004</v>
      </c>
      <c r="J98" s="32">
        <v>32025</v>
      </c>
      <c r="K98" s="32">
        <v>48.117199999999997</v>
      </c>
      <c r="L98" s="33">
        <f t="shared" si="10"/>
        <v>665.56241842833754</v>
      </c>
      <c r="M98" s="26">
        <v>60</v>
      </c>
      <c r="N98" s="37">
        <f t="shared" si="11"/>
        <v>533.75</v>
      </c>
      <c r="O98" s="38">
        <f t="shared" ca="1" si="12"/>
        <v>92</v>
      </c>
      <c r="P98" s="36">
        <f t="shared" ca="1" si="9"/>
        <v>-17080</v>
      </c>
      <c r="Q98" s="36">
        <f t="shared" ca="1" si="8"/>
        <v>1</v>
      </c>
      <c r="R98" s="49" t="s">
        <v>1327</v>
      </c>
    </row>
    <row r="99" spans="1:18" s="5" customFormat="1" ht="79.5" customHeight="1" x14ac:dyDescent="0.25">
      <c r="B99" s="27">
        <v>43087</v>
      </c>
      <c r="C99" s="24" t="s">
        <v>2349</v>
      </c>
      <c r="D99" s="26" t="s">
        <v>3087</v>
      </c>
      <c r="E99" s="26" t="s">
        <v>3091</v>
      </c>
      <c r="F99" s="26" t="s">
        <v>3089</v>
      </c>
      <c r="G99" s="29" t="s">
        <v>3092</v>
      </c>
      <c r="H99" s="26" t="s">
        <v>23</v>
      </c>
      <c r="I99" s="26" t="s">
        <v>3004</v>
      </c>
      <c r="J99" s="32">
        <v>32025</v>
      </c>
      <c r="K99" s="32">
        <v>48.117199999999997</v>
      </c>
      <c r="L99" s="33">
        <f t="shared" si="10"/>
        <v>665.56241842833754</v>
      </c>
      <c r="M99" s="26">
        <v>60</v>
      </c>
      <c r="N99" s="37">
        <f t="shared" si="11"/>
        <v>533.75</v>
      </c>
      <c r="O99" s="38">
        <f t="shared" ca="1" si="12"/>
        <v>92</v>
      </c>
      <c r="P99" s="36">
        <f t="shared" ca="1" si="9"/>
        <v>-17080</v>
      </c>
      <c r="Q99" s="36">
        <f t="shared" ca="1" si="8"/>
        <v>1</v>
      </c>
      <c r="R99" s="49" t="s">
        <v>1327</v>
      </c>
    </row>
    <row r="100" spans="1:18" s="5" customFormat="1" ht="65.25" customHeight="1" x14ac:dyDescent="0.25">
      <c r="B100" s="27">
        <v>43087</v>
      </c>
      <c r="C100" s="24" t="s">
        <v>2349</v>
      </c>
      <c r="D100" s="26" t="s">
        <v>3087</v>
      </c>
      <c r="E100" s="26" t="s">
        <v>3093</v>
      </c>
      <c r="F100" s="26" t="s">
        <v>3089</v>
      </c>
      <c r="G100" s="29" t="s">
        <v>3094</v>
      </c>
      <c r="H100" s="26" t="s">
        <v>318</v>
      </c>
      <c r="I100" s="26" t="s">
        <v>3007</v>
      </c>
      <c r="J100" s="32">
        <v>32025</v>
      </c>
      <c r="K100" s="32">
        <v>48.117199999999997</v>
      </c>
      <c r="L100" s="33">
        <f t="shared" si="10"/>
        <v>665.56241842833754</v>
      </c>
      <c r="M100" s="26">
        <v>60</v>
      </c>
      <c r="N100" s="37">
        <f t="shared" si="11"/>
        <v>533.75</v>
      </c>
      <c r="O100" s="38">
        <f t="shared" ca="1" si="12"/>
        <v>92</v>
      </c>
      <c r="P100" s="36">
        <f t="shared" ca="1" si="9"/>
        <v>-17080</v>
      </c>
      <c r="Q100" s="36">
        <f t="shared" ca="1" si="8"/>
        <v>1</v>
      </c>
      <c r="R100" s="49" t="s">
        <v>1327</v>
      </c>
    </row>
    <row r="101" spans="1:18" s="5" customFormat="1" ht="72.75" customHeight="1" x14ac:dyDescent="0.25">
      <c r="B101" s="27">
        <v>43087</v>
      </c>
      <c r="C101" s="24" t="s">
        <v>2349</v>
      </c>
      <c r="D101" s="26" t="s">
        <v>3087</v>
      </c>
      <c r="E101" s="26" t="s">
        <v>3095</v>
      </c>
      <c r="F101" s="26" t="s">
        <v>3089</v>
      </c>
      <c r="G101" s="29" t="s">
        <v>3096</v>
      </c>
      <c r="H101" s="26" t="s">
        <v>318</v>
      </c>
      <c r="I101" s="26" t="s">
        <v>3007</v>
      </c>
      <c r="J101" s="32">
        <v>32025</v>
      </c>
      <c r="K101" s="32">
        <v>48.117199999999997</v>
      </c>
      <c r="L101" s="33">
        <f t="shared" si="10"/>
        <v>665.56241842833754</v>
      </c>
      <c r="M101" s="26">
        <v>60</v>
      </c>
      <c r="N101" s="37">
        <f t="shared" si="11"/>
        <v>533.75</v>
      </c>
      <c r="O101" s="38">
        <f t="shared" ca="1" si="12"/>
        <v>92</v>
      </c>
      <c r="P101" s="36">
        <f t="shared" ca="1" si="9"/>
        <v>-17080</v>
      </c>
      <c r="Q101" s="36">
        <f t="shared" ca="1" si="8"/>
        <v>1</v>
      </c>
      <c r="R101" s="49" t="s">
        <v>1327</v>
      </c>
    </row>
    <row r="102" spans="1:18" s="5" customFormat="1" ht="81.75" customHeight="1" x14ac:dyDescent="0.25">
      <c r="B102" s="27">
        <v>43087</v>
      </c>
      <c r="C102" s="24" t="s">
        <v>2349</v>
      </c>
      <c r="D102" s="26" t="s">
        <v>3087</v>
      </c>
      <c r="E102" s="26" t="s">
        <v>3097</v>
      </c>
      <c r="F102" s="26" t="s">
        <v>3089</v>
      </c>
      <c r="G102" s="29" t="s">
        <v>3098</v>
      </c>
      <c r="H102" s="26" t="s">
        <v>3009</v>
      </c>
      <c r="I102" s="26" t="s">
        <v>3010</v>
      </c>
      <c r="J102" s="32">
        <v>32025</v>
      </c>
      <c r="K102" s="32">
        <v>48.117199999999997</v>
      </c>
      <c r="L102" s="33">
        <f t="shared" si="10"/>
        <v>665.56241842833754</v>
      </c>
      <c r="M102" s="26">
        <v>60</v>
      </c>
      <c r="N102" s="37">
        <f t="shared" si="11"/>
        <v>533.75</v>
      </c>
      <c r="O102" s="38">
        <f t="shared" ca="1" si="12"/>
        <v>92</v>
      </c>
      <c r="P102" s="36">
        <f t="shared" ca="1" si="9"/>
        <v>-17080</v>
      </c>
      <c r="Q102" s="36">
        <f t="shared" ca="1" si="8"/>
        <v>1</v>
      </c>
      <c r="R102" s="49" t="s">
        <v>1327</v>
      </c>
    </row>
    <row r="103" spans="1:18" s="5" customFormat="1" ht="78" customHeight="1" x14ac:dyDescent="0.25">
      <c r="B103" s="27">
        <v>43087</v>
      </c>
      <c r="C103" s="24" t="s">
        <v>2349</v>
      </c>
      <c r="D103" s="26" t="s">
        <v>3087</v>
      </c>
      <c r="E103" s="26" t="s">
        <v>3099</v>
      </c>
      <c r="F103" s="26" t="s">
        <v>3089</v>
      </c>
      <c r="G103" s="29" t="s">
        <v>3100</v>
      </c>
      <c r="H103" s="26" t="s">
        <v>3009</v>
      </c>
      <c r="I103" s="26" t="s">
        <v>3010</v>
      </c>
      <c r="J103" s="32">
        <v>32025</v>
      </c>
      <c r="K103" s="32">
        <v>48.117199999999997</v>
      </c>
      <c r="L103" s="33">
        <f t="shared" si="10"/>
        <v>665.56241842833754</v>
      </c>
      <c r="M103" s="26">
        <v>60</v>
      </c>
      <c r="N103" s="37">
        <f t="shared" si="11"/>
        <v>533.75</v>
      </c>
      <c r="O103" s="38">
        <f t="shared" ca="1" si="12"/>
        <v>92</v>
      </c>
      <c r="P103" s="36">
        <f t="shared" ca="1" si="9"/>
        <v>-17080</v>
      </c>
      <c r="Q103" s="36">
        <f t="shared" ca="1" si="8"/>
        <v>1</v>
      </c>
      <c r="R103" s="49" t="s">
        <v>1327</v>
      </c>
    </row>
    <row r="104" spans="1:18" s="5" customFormat="1" ht="76.5" customHeight="1" x14ac:dyDescent="0.25">
      <c r="B104" s="27">
        <v>43087</v>
      </c>
      <c r="C104" s="24" t="s">
        <v>2349</v>
      </c>
      <c r="D104" s="26" t="s">
        <v>3087</v>
      </c>
      <c r="E104" s="26" t="s">
        <v>3101</v>
      </c>
      <c r="F104" s="26" t="s">
        <v>3102</v>
      </c>
      <c r="G104" s="29" t="s">
        <v>3103</v>
      </c>
      <c r="H104" s="26" t="s">
        <v>23</v>
      </c>
      <c r="I104" s="26" t="s">
        <v>3004</v>
      </c>
      <c r="J104" s="32">
        <v>14519.99</v>
      </c>
      <c r="K104" s="32">
        <v>48.117199999999997</v>
      </c>
      <c r="L104" s="33">
        <f t="shared" si="10"/>
        <v>301.76298703997742</v>
      </c>
      <c r="M104" s="26">
        <v>60</v>
      </c>
      <c r="N104" s="37">
        <f t="shared" si="11"/>
        <v>241.99983333333333</v>
      </c>
      <c r="O104" s="38">
        <f t="shared" ca="1" si="12"/>
        <v>92</v>
      </c>
      <c r="P104" s="36">
        <f t="shared" ca="1" si="9"/>
        <v>-7743.9946666666674</v>
      </c>
      <c r="Q104" s="36">
        <f t="shared" ca="1" si="8"/>
        <v>1</v>
      </c>
      <c r="R104" s="49" t="s">
        <v>1327</v>
      </c>
    </row>
    <row r="105" spans="1:18" s="5" customFormat="1" ht="62.25" customHeight="1" x14ac:dyDescent="0.25">
      <c r="B105" s="27">
        <v>43087</v>
      </c>
      <c r="C105" s="24" t="s">
        <v>2349</v>
      </c>
      <c r="D105" s="26" t="s">
        <v>3087</v>
      </c>
      <c r="E105" s="26" t="s">
        <v>3104</v>
      </c>
      <c r="F105" s="26" t="s">
        <v>3102</v>
      </c>
      <c r="G105" s="29" t="s">
        <v>3105</v>
      </c>
      <c r="H105" s="26" t="s">
        <v>318</v>
      </c>
      <c r="I105" s="26" t="s">
        <v>3007</v>
      </c>
      <c r="J105" s="32">
        <v>14519.99</v>
      </c>
      <c r="K105" s="32">
        <v>48.117199999999997</v>
      </c>
      <c r="L105" s="33">
        <f t="shared" si="10"/>
        <v>301.76298703997742</v>
      </c>
      <c r="M105" s="26">
        <v>60</v>
      </c>
      <c r="N105" s="37">
        <f t="shared" si="11"/>
        <v>241.99983333333333</v>
      </c>
      <c r="O105" s="38">
        <f t="shared" ca="1" si="12"/>
        <v>92</v>
      </c>
      <c r="P105" s="36">
        <f t="shared" ca="1" si="9"/>
        <v>-7743.9946666666674</v>
      </c>
      <c r="Q105" s="36">
        <f t="shared" ca="1" si="8"/>
        <v>1</v>
      </c>
      <c r="R105" s="49" t="s">
        <v>1327</v>
      </c>
    </row>
    <row r="106" spans="1:18" s="5" customFormat="1" ht="81" customHeight="1" x14ac:dyDescent="0.25">
      <c r="B106" s="27">
        <v>43087</v>
      </c>
      <c r="C106" s="24" t="s">
        <v>2349</v>
      </c>
      <c r="D106" s="26" t="s">
        <v>3087</v>
      </c>
      <c r="E106" s="26" t="s">
        <v>3106</v>
      </c>
      <c r="F106" s="26" t="s">
        <v>3102</v>
      </c>
      <c r="G106" s="29" t="s">
        <v>3107</v>
      </c>
      <c r="H106" s="26" t="s">
        <v>3009</v>
      </c>
      <c r="I106" s="26" t="s">
        <v>3010</v>
      </c>
      <c r="J106" s="32">
        <v>14519.99</v>
      </c>
      <c r="K106" s="32">
        <v>48.117199999999997</v>
      </c>
      <c r="L106" s="33">
        <f t="shared" si="10"/>
        <v>301.76298703997742</v>
      </c>
      <c r="M106" s="26">
        <v>60</v>
      </c>
      <c r="N106" s="37">
        <f t="shared" si="11"/>
        <v>241.99983333333333</v>
      </c>
      <c r="O106" s="38">
        <f t="shared" ca="1" si="12"/>
        <v>92</v>
      </c>
      <c r="P106" s="36">
        <f t="shared" ca="1" si="9"/>
        <v>-7743.9946666666674</v>
      </c>
      <c r="Q106" s="36">
        <f t="shared" ca="1" si="8"/>
        <v>1</v>
      </c>
      <c r="R106" s="49" t="s">
        <v>1327</v>
      </c>
    </row>
    <row r="107" spans="1:18" s="5" customFormat="1" ht="76.5" customHeight="1" x14ac:dyDescent="0.25">
      <c r="B107" s="27">
        <v>43087</v>
      </c>
      <c r="C107" s="24" t="s">
        <v>2349</v>
      </c>
      <c r="D107" s="26" t="s">
        <v>3087</v>
      </c>
      <c r="E107" s="26" t="s">
        <v>3108</v>
      </c>
      <c r="F107" s="26" t="s">
        <v>3109</v>
      </c>
      <c r="G107" s="922" t="s">
        <v>3110</v>
      </c>
      <c r="H107" s="26" t="s">
        <v>23</v>
      </c>
      <c r="I107" s="26" t="s">
        <v>3004</v>
      </c>
      <c r="J107" s="32">
        <v>1850.0045</v>
      </c>
      <c r="K107" s="32">
        <v>48.117199999999997</v>
      </c>
      <c r="L107" s="33">
        <f t="shared" si="10"/>
        <v>38.447883501118106</v>
      </c>
      <c r="M107" s="26">
        <v>60</v>
      </c>
      <c r="N107" s="37">
        <f t="shared" si="11"/>
        <v>30.833408333333335</v>
      </c>
      <c r="O107" s="38">
        <f t="shared" ca="1" si="12"/>
        <v>92</v>
      </c>
      <c r="P107" s="36">
        <f t="shared" ca="1" si="9"/>
        <v>-986.66906666666682</v>
      </c>
      <c r="Q107" s="36">
        <f t="shared" ca="1" si="8"/>
        <v>1</v>
      </c>
      <c r="R107" s="49" t="s">
        <v>1327</v>
      </c>
    </row>
    <row r="108" spans="1:18" s="5" customFormat="1" ht="78" customHeight="1" x14ac:dyDescent="0.25">
      <c r="B108" s="27">
        <v>43087</v>
      </c>
      <c r="C108" s="24" t="s">
        <v>2349</v>
      </c>
      <c r="D108" s="26" t="s">
        <v>3087</v>
      </c>
      <c r="E108" s="26" t="s">
        <v>3111</v>
      </c>
      <c r="F108" s="26" t="s">
        <v>3109</v>
      </c>
      <c r="G108" s="922" t="s">
        <v>3112</v>
      </c>
      <c r="H108" s="26" t="s">
        <v>23</v>
      </c>
      <c r="I108" s="26" t="s">
        <v>3004</v>
      </c>
      <c r="J108" s="32">
        <v>1850.0045</v>
      </c>
      <c r="K108" s="32">
        <v>48.117199999999997</v>
      </c>
      <c r="L108" s="33">
        <f t="shared" si="10"/>
        <v>38.447883501118106</v>
      </c>
      <c r="M108" s="26">
        <v>60</v>
      </c>
      <c r="N108" s="37">
        <f t="shared" si="11"/>
        <v>30.833408333333335</v>
      </c>
      <c r="O108" s="38">
        <f t="shared" ca="1" si="12"/>
        <v>92</v>
      </c>
      <c r="P108" s="36">
        <f t="shared" ca="1" si="9"/>
        <v>-986.66906666666682</v>
      </c>
      <c r="Q108" s="36">
        <f t="shared" ca="1" si="8"/>
        <v>1</v>
      </c>
      <c r="R108" s="49" t="s">
        <v>1327</v>
      </c>
    </row>
    <row r="109" spans="1:18" s="5" customFormat="1" ht="70.5" customHeight="1" x14ac:dyDescent="0.25">
      <c r="B109" s="27">
        <v>43087</v>
      </c>
      <c r="C109" s="24" t="s">
        <v>2349</v>
      </c>
      <c r="D109" s="26" t="s">
        <v>3087</v>
      </c>
      <c r="E109" s="26" t="s">
        <v>3113</v>
      </c>
      <c r="F109" s="26" t="s">
        <v>3109</v>
      </c>
      <c r="G109" s="922" t="s">
        <v>3114</v>
      </c>
      <c r="H109" s="26" t="s">
        <v>318</v>
      </c>
      <c r="I109" s="26" t="s">
        <v>3007</v>
      </c>
      <c r="J109" s="32">
        <v>1850.0045</v>
      </c>
      <c r="K109" s="32">
        <v>48.117199999999997</v>
      </c>
      <c r="L109" s="33">
        <f t="shared" si="10"/>
        <v>38.447883501118106</v>
      </c>
      <c r="M109" s="26">
        <v>60</v>
      </c>
      <c r="N109" s="37">
        <f t="shared" si="11"/>
        <v>30.833408333333335</v>
      </c>
      <c r="O109" s="38">
        <f t="shared" ca="1" si="12"/>
        <v>92</v>
      </c>
      <c r="P109" s="36">
        <f t="shared" ca="1" si="9"/>
        <v>-986.66906666666682</v>
      </c>
      <c r="Q109" s="36">
        <f t="shared" ca="1" si="8"/>
        <v>1</v>
      </c>
      <c r="R109" s="49" t="s">
        <v>1327</v>
      </c>
    </row>
    <row r="110" spans="1:18" s="5" customFormat="1" ht="63" customHeight="1" x14ac:dyDescent="0.25">
      <c r="B110" s="27">
        <v>43087</v>
      </c>
      <c r="C110" s="24" t="s">
        <v>2349</v>
      </c>
      <c r="D110" s="26" t="s">
        <v>3087</v>
      </c>
      <c r="E110" s="26" t="s">
        <v>3115</v>
      </c>
      <c r="F110" s="26" t="s">
        <v>3109</v>
      </c>
      <c r="G110" s="922" t="s">
        <v>3116</v>
      </c>
      <c r="H110" s="26" t="s">
        <v>318</v>
      </c>
      <c r="I110" s="26" t="s">
        <v>3007</v>
      </c>
      <c r="J110" s="32">
        <v>1850.0045</v>
      </c>
      <c r="K110" s="32">
        <v>48.117199999999997</v>
      </c>
      <c r="L110" s="33">
        <f t="shared" si="10"/>
        <v>38.447883501118106</v>
      </c>
      <c r="M110" s="26">
        <v>60</v>
      </c>
      <c r="N110" s="37">
        <f t="shared" si="11"/>
        <v>30.833408333333335</v>
      </c>
      <c r="O110" s="38">
        <f t="shared" ca="1" si="12"/>
        <v>92</v>
      </c>
      <c r="P110" s="36">
        <f t="shared" ca="1" si="9"/>
        <v>-986.66906666666682</v>
      </c>
      <c r="Q110" s="36">
        <f t="shared" ca="1" si="8"/>
        <v>1</v>
      </c>
      <c r="R110" s="49" t="s">
        <v>1327</v>
      </c>
    </row>
    <row r="111" spans="1:18" s="5" customFormat="1" ht="73.5" customHeight="1" x14ac:dyDescent="0.25">
      <c r="B111" s="27">
        <v>43087</v>
      </c>
      <c r="C111" s="24" t="s">
        <v>2349</v>
      </c>
      <c r="D111" s="26" t="s">
        <v>3087</v>
      </c>
      <c r="E111" s="26" t="s">
        <v>3117</v>
      </c>
      <c r="F111" s="26" t="s">
        <v>3109</v>
      </c>
      <c r="G111" s="922" t="s">
        <v>3118</v>
      </c>
      <c r="H111" s="26" t="s">
        <v>3009</v>
      </c>
      <c r="I111" s="26" t="s">
        <v>3010</v>
      </c>
      <c r="J111" s="32">
        <v>1850.0045</v>
      </c>
      <c r="K111" s="32">
        <v>48.117199999999997</v>
      </c>
      <c r="L111" s="33">
        <f t="shared" si="10"/>
        <v>38.447883501118106</v>
      </c>
      <c r="M111" s="26">
        <v>60</v>
      </c>
      <c r="N111" s="37">
        <f t="shared" si="11"/>
        <v>30.833408333333335</v>
      </c>
      <c r="O111" s="38">
        <f t="shared" ca="1" si="12"/>
        <v>92</v>
      </c>
      <c r="P111" s="36">
        <f t="shared" ca="1" si="9"/>
        <v>-986.66906666666682</v>
      </c>
      <c r="Q111" s="36">
        <f t="shared" ca="1" si="8"/>
        <v>1</v>
      </c>
      <c r="R111" s="49" t="s">
        <v>1327</v>
      </c>
    </row>
    <row r="112" spans="1:18" s="5" customFormat="1" ht="78" customHeight="1" x14ac:dyDescent="0.25">
      <c r="B112" s="27">
        <v>43087</v>
      </c>
      <c r="C112" s="24" t="s">
        <v>2349</v>
      </c>
      <c r="D112" s="26" t="s">
        <v>3087</v>
      </c>
      <c r="E112" s="26" t="s">
        <v>3119</v>
      </c>
      <c r="F112" s="26" t="s">
        <v>3109</v>
      </c>
      <c r="G112" s="922" t="s">
        <v>3120</v>
      </c>
      <c r="H112" s="26" t="s">
        <v>3009</v>
      </c>
      <c r="I112" s="26" t="s">
        <v>3010</v>
      </c>
      <c r="J112" s="32">
        <v>1850.0045</v>
      </c>
      <c r="K112" s="32">
        <v>48.117199999999997</v>
      </c>
      <c r="L112" s="33">
        <f t="shared" si="10"/>
        <v>38.447883501118106</v>
      </c>
      <c r="M112" s="26">
        <v>60</v>
      </c>
      <c r="N112" s="37">
        <f t="shared" si="11"/>
        <v>30.833408333333335</v>
      </c>
      <c r="O112" s="38">
        <f t="shared" ca="1" si="12"/>
        <v>92</v>
      </c>
      <c r="P112" s="36">
        <f t="shared" ca="1" si="9"/>
        <v>-986.66906666666682</v>
      </c>
      <c r="Q112" s="36">
        <f t="shared" ca="1" si="8"/>
        <v>1</v>
      </c>
      <c r="R112" s="49" t="s">
        <v>1327</v>
      </c>
    </row>
    <row r="113" spans="2:18" s="5" customFormat="1" ht="78" customHeight="1" x14ac:dyDescent="0.25">
      <c r="B113" s="27">
        <v>43087</v>
      </c>
      <c r="C113" s="24" t="s">
        <v>2349</v>
      </c>
      <c r="D113" s="26" t="s">
        <v>3121</v>
      </c>
      <c r="E113" s="26" t="s">
        <v>3122</v>
      </c>
      <c r="F113" s="26" t="s">
        <v>3123</v>
      </c>
      <c r="G113" s="29" t="s">
        <v>28</v>
      </c>
      <c r="H113" s="26" t="s">
        <v>3009</v>
      </c>
      <c r="I113" s="26" t="s">
        <v>3010</v>
      </c>
      <c r="J113" s="32">
        <v>12059.6</v>
      </c>
      <c r="K113" s="32">
        <v>48.117199999999997</v>
      </c>
      <c r="L113" s="33">
        <f t="shared" si="10"/>
        <v>250.62971245209616</v>
      </c>
      <c r="M113" s="26">
        <v>60</v>
      </c>
      <c r="N113" s="37">
        <f t="shared" si="11"/>
        <v>200.99333333333334</v>
      </c>
      <c r="O113" s="38">
        <f t="shared" ca="1" si="12"/>
        <v>92</v>
      </c>
      <c r="P113" s="36">
        <f t="shared" ca="1" si="9"/>
        <v>-6431.786666666665</v>
      </c>
      <c r="Q113" s="36">
        <f t="shared" ca="1" si="8"/>
        <v>1</v>
      </c>
      <c r="R113" s="49" t="s">
        <v>3124</v>
      </c>
    </row>
    <row r="114" spans="2:18" s="5" customFormat="1" ht="63.75" customHeight="1" x14ac:dyDescent="0.25">
      <c r="B114" s="27">
        <v>43087</v>
      </c>
      <c r="C114" s="24" t="s">
        <v>2349</v>
      </c>
      <c r="D114" s="26" t="s">
        <v>3121</v>
      </c>
      <c r="E114" s="26" t="s">
        <v>3125</v>
      </c>
      <c r="F114" s="26" t="s">
        <v>3126</v>
      </c>
      <c r="G114" s="29" t="s">
        <v>28</v>
      </c>
      <c r="H114" s="26" t="s">
        <v>23</v>
      </c>
      <c r="I114" s="26" t="s">
        <v>3004</v>
      </c>
      <c r="J114" s="32">
        <v>4543</v>
      </c>
      <c r="K114" s="32">
        <v>48.117199999999997</v>
      </c>
      <c r="L114" s="33">
        <f t="shared" si="10"/>
        <v>94.415302636063615</v>
      </c>
      <c r="M114" s="26">
        <v>60</v>
      </c>
      <c r="N114" s="37">
        <f t="shared" si="11"/>
        <v>75.716666666666669</v>
      </c>
      <c r="O114" s="38">
        <f t="shared" ca="1" si="12"/>
        <v>92</v>
      </c>
      <c r="P114" s="36">
        <f t="shared" ca="1" si="9"/>
        <v>-2422.9333333333334</v>
      </c>
      <c r="Q114" s="36">
        <f t="shared" ca="1" si="8"/>
        <v>1</v>
      </c>
      <c r="R114" s="49" t="s">
        <v>3124</v>
      </c>
    </row>
    <row r="115" spans="2:18" s="5" customFormat="1" ht="63.75" customHeight="1" x14ac:dyDescent="0.25">
      <c r="B115" s="27">
        <v>43087</v>
      </c>
      <c r="C115" s="24" t="s">
        <v>2349</v>
      </c>
      <c r="D115" s="26" t="s">
        <v>3121</v>
      </c>
      <c r="E115" s="26" t="s">
        <v>3127</v>
      </c>
      <c r="F115" s="26" t="s">
        <v>3126</v>
      </c>
      <c r="G115" s="29" t="s">
        <v>28</v>
      </c>
      <c r="H115" s="26" t="s">
        <v>318</v>
      </c>
      <c r="I115" s="26" t="s">
        <v>3007</v>
      </c>
      <c r="J115" s="32">
        <v>4543</v>
      </c>
      <c r="K115" s="32">
        <v>48.117199999999997</v>
      </c>
      <c r="L115" s="33">
        <f t="shared" si="10"/>
        <v>94.415302636063615</v>
      </c>
      <c r="M115" s="26">
        <v>60</v>
      </c>
      <c r="N115" s="37">
        <f t="shared" si="11"/>
        <v>75.716666666666669</v>
      </c>
      <c r="O115" s="38">
        <f t="shared" ca="1" si="12"/>
        <v>92</v>
      </c>
      <c r="P115" s="36">
        <f t="shared" ca="1" si="9"/>
        <v>-2422.9333333333334</v>
      </c>
      <c r="Q115" s="36">
        <f t="shared" ca="1" si="8"/>
        <v>1</v>
      </c>
      <c r="R115" s="49" t="s">
        <v>3124</v>
      </c>
    </row>
    <row r="116" spans="2:18" s="5" customFormat="1" ht="74.25" customHeight="1" x14ac:dyDescent="0.25">
      <c r="B116" s="27">
        <v>43087</v>
      </c>
      <c r="C116" s="24" t="s">
        <v>2349</v>
      </c>
      <c r="D116" s="26" t="s">
        <v>3121</v>
      </c>
      <c r="E116" s="26" t="s">
        <v>3128</v>
      </c>
      <c r="F116" s="26" t="s">
        <v>3126</v>
      </c>
      <c r="G116" s="29" t="s">
        <v>28</v>
      </c>
      <c r="H116" s="26" t="s">
        <v>3012</v>
      </c>
      <c r="I116" s="26" t="s">
        <v>3013</v>
      </c>
      <c r="J116" s="32">
        <v>4543</v>
      </c>
      <c r="K116" s="32">
        <v>48.117199999999997</v>
      </c>
      <c r="L116" s="33">
        <f t="shared" si="10"/>
        <v>94.415302636063615</v>
      </c>
      <c r="M116" s="26">
        <v>60</v>
      </c>
      <c r="N116" s="37">
        <f t="shared" si="11"/>
        <v>75.716666666666669</v>
      </c>
      <c r="O116" s="38">
        <f t="shared" ca="1" si="12"/>
        <v>92</v>
      </c>
      <c r="P116" s="36">
        <f t="shared" ca="1" si="9"/>
        <v>-2422.9333333333334</v>
      </c>
      <c r="Q116" s="36">
        <f t="shared" ca="1" si="8"/>
        <v>1</v>
      </c>
      <c r="R116" s="49" t="s">
        <v>3124</v>
      </c>
    </row>
    <row r="117" spans="2:18" s="5" customFormat="1" ht="77.25" customHeight="1" x14ac:dyDescent="0.25">
      <c r="B117" s="27">
        <v>43087</v>
      </c>
      <c r="C117" s="24" t="s">
        <v>2349</v>
      </c>
      <c r="D117" s="26" t="s">
        <v>3121</v>
      </c>
      <c r="E117" s="26" t="s">
        <v>3129</v>
      </c>
      <c r="F117" s="26" t="s">
        <v>3126</v>
      </c>
      <c r="G117" s="29" t="s">
        <v>28</v>
      </c>
      <c r="H117" s="26" t="s">
        <v>3009</v>
      </c>
      <c r="I117" s="26" t="s">
        <v>3010</v>
      </c>
      <c r="J117" s="32">
        <v>4543</v>
      </c>
      <c r="K117" s="32">
        <v>48.117199999999997</v>
      </c>
      <c r="L117" s="33">
        <f t="shared" si="10"/>
        <v>94.415302636063615</v>
      </c>
      <c r="M117" s="26">
        <v>60</v>
      </c>
      <c r="N117" s="37">
        <f t="shared" si="11"/>
        <v>75.716666666666669</v>
      </c>
      <c r="O117" s="38">
        <f t="shared" ca="1" si="12"/>
        <v>92</v>
      </c>
      <c r="P117" s="36">
        <f t="shared" ca="1" si="9"/>
        <v>-2422.9333333333334</v>
      </c>
      <c r="Q117" s="36">
        <f t="shared" ca="1" si="8"/>
        <v>1</v>
      </c>
      <c r="R117" s="49" t="s">
        <v>3124</v>
      </c>
    </row>
    <row r="118" spans="2:18" s="5" customFormat="1" ht="78.75" customHeight="1" x14ac:dyDescent="0.25">
      <c r="B118" s="27">
        <v>43087</v>
      </c>
      <c r="C118" s="24" t="s">
        <v>2349</v>
      </c>
      <c r="D118" s="26" t="s">
        <v>3121</v>
      </c>
      <c r="E118" s="26" t="s">
        <v>3130</v>
      </c>
      <c r="F118" s="26" t="s">
        <v>3131</v>
      </c>
      <c r="G118" s="29" t="s">
        <v>28</v>
      </c>
      <c r="H118" s="26" t="s">
        <v>318</v>
      </c>
      <c r="I118" s="26" t="s">
        <v>3007</v>
      </c>
      <c r="J118" s="32">
        <v>4295.2</v>
      </c>
      <c r="K118" s="32">
        <v>48.117199999999997</v>
      </c>
      <c r="L118" s="33">
        <f t="shared" si="10"/>
        <v>89.265377037732875</v>
      </c>
      <c r="M118" s="26">
        <v>60</v>
      </c>
      <c r="N118" s="37">
        <f t="shared" si="11"/>
        <v>71.586666666666659</v>
      </c>
      <c r="O118" s="38">
        <f t="shared" ca="1" si="12"/>
        <v>92</v>
      </c>
      <c r="P118" s="36">
        <f t="shared" ca="1" si="9"/>
        <v>-2290.7733333333326</v>
      </c>
      <c r="Q118" s="36">
        <f t="shared" ca="1" si="8"/>
        <v>1</v>
      </c>
      <c r="R118" s="49" t="s">
        <v>3124</v>
      </c>
    </row>
    <row r="119" spans="2:18" s="5" customFormat="1" ht="68.25" customHeight="1" x14ac:dyDescent="0.25">
      <c r="B119" s="27">
        <v>43087</v>
      </c>
      <c r="C119" s="24" t="s">
        <v>2349</v>
      </c>
      <c r="D119" s="26" t="s">
        <v>3121</v>
      </c>
      <c r="E119" s="26" t="s">
        <v>3132</v>
      </c>
      <c r="F119" s="26" t="s">
        <v>3131</v>
      </c>
      <c r="G119" s="29" t="s">
        <v>28</v>
      </c>
      <c r="H119" s="26" t="s">
        <v>318</v>
      </c>
      <c r="I119" s="26" t="s">
        <v>3007</v>
      </c>
      <c r="J119" s="32">
        <v>4295.2</v>
      </c>
      <c r="K119" s="32">
        <v>48.117199999999997</v>
      </c>
      <c r="L119" s="33">
        <f t="shared" si="10"/>
        <v>89.265377037732875</v>
      </c>
      <c r="M119" s="26">
        <v>60</v>
      </c>
      <c r="N119" s="37">
        <f t="shared" si="11"/>
        <v>71.586666666666659</v>
      </c>
      <c r="O119" s="38">
        <f t="shared" ca="1" si="12"/>
        <v>92</v>
      </c>
      <c r="P119" s="36">
        <f t="shared" ca="1" si="9"/>
        <v>-2290.7733333333326</v>
      </c>
      <c r="Q119" s="36">
        <f t="shared" ca="1" si="8"/>
        <v>1</v>
      </c>
      <c r="R119" s="49" t="s">
        <v>3124</v>
      </c>
    </row>
    <row r="120" spans="2:18" s="5" customFormat="1" ht="75.75" customHeight="1" x14ac:dyDescent="0.25">
      <c r="B120" s="27">
        <v>43087</v>
      </c>
      <c r="C120" s="24" t="s">
        <v>2349</v>
      </c>
      <c r="D120" s="26" t="s">
        <v>3121</v>
      </c>
      <c r="E120" s="26" t="s">
        <v>3133</v>
      </c>
      <c r="F120" s="26" t="s">
        <v>3134</v>
      </c>
      <c r="G120" s="29" t="s">
        <v>28</v>
      </c>
      <c r="H120" s="26" t="s">
        <v>23</v>
      </c>
      <c r="I120" s="26" t="s">
        <v>3004</v>
      </c>
      <c r="J120" s="32">
        <v>8260</v>
      </c>
      <c r="K120" s="32">
        <v>48.117199999999997</v>
      </c>
      <c r="L120" s="33">
        <f t="shared" si="10"/>
        <v>171.66418661102475</v>
      </c>
      <c r="M120" s="26">
        <v>60</v>
      </c>
      <c r="N120" s="37">
        <f t="shared" si="11"/>
        <v>137.66666666666666</v>
      </c>
      <c r="O120" s="38">
        <f t="shared" ca="1" si="12"/>
        <v>92</v>
      </c>
      <c r="P120" s="36">
        <f t="shared" ca="1" si="9"/>
        <v>-4405.3333333333321</v>
      </c>
      <c r="Q120" s="36">
        <f t="shared" ca="1" si="8"/>
        <v>1</v>
      </c>
      <c r="R120" s="49" t="s">
        <v>3124</v>
      </c>
    </row>
    <row r="121" spans="2:18" s="5" customFormat="1" ht="66.75" customHeight="1" x14ac:dyDescent="0.25">
      <c r="B121" s="27">
        <v>43087</v>
      </c>
      <c r="C121" s="24" t="s">
        <v>2349</v>
      </c>
      <c r="D121" s="26" t="s">
        <v>3121</v>
      </c>
      <c r="E121" s="26" t="s">
        <v>3135</v>
      </c>
      <c r="F121" s="26" t="s">
        <v>3134</v>
      </c>
      <c r="G121" s="29" t="s">
        <v>28</v>
      </c>
      <c r="H121" s="26" t="s">
        <v>318</v>
      </c>
      <c r="I121" s="26" t="s">
        <v>3007</v>
      </c>
      <c r="J121" s="32">
        <v>8260</v>
      </c>
      <c r="K121" s="32">
        <v>48.117199999999997</v>
      </c>
      <c r="L121" s="33">
        <f t="shared" si="10"/>
        <v>171.66418661102475</v>
      </c>
      <c r="M121" s="26">
        <v>60</v>
      </c>
      <c r="N121" s="37">
        <f t="shared" si="11"/>
        <v>137.66666666666666</v>
      </c>
      <c r="O121" s="38">
        <f t="shared" ca="1" si="12"/>
        <v>92</v>
      </c>
      <c r="P121" s="36">
        <f t="shared" ca="1" si="9"/>
        <v>-4405.3333333333321</v>
      </c>
      <c r="Q121" s="36">
        <f t="shared" ca="1" si="8"/>
        <v>1</v>
      </c>
      <c r="R121" s="49" t="s">
        <v>3124</v>
      </c>
    </row>
    <row r="122" spans="2:18" s="5" customFormat="1" ht="67.5" customHeight="1" x14ac:dyDescent="0.25">
      <c r="B122" s="27">
        <v>43087</v>
      </c>
      <c r="C122" s="24" t="s">
        <v>2349</v>
      </c>
      <c r="D122" s="26" t="s">
        <v>3121</v>
      </c>
      <c r="E122" s="26" t="s">
        <v>3136</v>
      </c>
      <c r="F122" s="26" t="s">
        <v>3134</v>
      </c>
      <c r="G122" s="29" t="s">
        <v>28</v>
      </c>
      <c r="H122" s="26" t="s">
        <v>3012</v>
      </c>
      <c r="I122" s="26" t="s">
        <v>3013</v>
      </c>
      <c r="J122" s="32">
        <v>8260</v>
      </c>
      <c r="K122" s="32">
        <v>48.117199999999997</v>
      </c>
      <c r="L122" s="33">
        <f t="shared" si="10"/>
        <v>171.66418661102475</v>
      </c>
      <c r="M122" s="26">
        <v>60</v>
      </c>
      <c r="N122" s="37">
        <f t="shared" si="11"/>
        <v>137.66666666666666</v>
      </c>
      <c r="O122" s="38">
        <f t="shared" ca="1" si="12"/>
        <v>92</v>
      </c>
      <c r="P122" s="36">
        <f t="shared" ca="1" si="9"/>
        <v>-4405.3333333333321</v>
      </c>
      <c r="Q122" s="36">
        <f t="shared" ca="1" si="8"/>
        <v>1</v>
      </c>
      <c r="R122" s="49" t="s">
        <v>3124</v>
      </c>
    </row>
    <row r="123" spans="2:18" s="5" customFormat="1" ht="77.25" customHeight="1" x14ac:dyDescent="0.25">
      <c r="B123" s="27">
        <v>43087</v>
      </c>
      <c r="C123" s="24" t="s">
        <v>2349</v>
      </c>
      <c r="D123" s="26" t="s">
        <v>3121</v>
      </c>
      <c r="E123" s="26" t="s">
        <v>3137</v>
      </c>
      <c r="F123" s="26" t="s">
        <v>3134</v>
      </c>
      <c r="G123" s="29" t="s">
        <v>28</v>
      </c>
      <c r="H123" s="26" t="s">
        <v>3009</v>
      </c>
      <c r="I123" s="26" t="s">
        <v>3010</v>
      </c>
      <c r="J123" s="32">
        <v>8260</v>
      </c>
      <c r="K123" s="32">
        <v>48.117199999999997</v>
      </c>
      <c r="L123" s="33">
        <f t="shared" si="10"/>
        <v>171.66418661102475</v>
      </c>
      <c r="M123" s="26">
        <v>60</v>
      </c>
      <c r="N123" s="37">
        <f t="shared" si="11"/>
        <v>137.66666666666666</v>
      </c>
      <c r="O123" s="38">
        <f t="shared" ca="1" si="12"/>
        <v>92</v>
      </c>
      <c r="P123" s="36">
        <f t="shared" ca="1" si="9"/>
        <v>-4405.3333333333321</v>
      </c>
      <c r="Q123" s="36">
        <f t="shared" ca="1" si="8"/>
        <v>1</v>
      </c>
      <c r="R123" s="49" t="s">
        <v>3124</v>
      </c>
    </row>
    <row r="124" spans="2:18" s="5" customFormat="1" ht="76.5" x14ac:dyDescent="0.25">
      <c r="B124" s="27">
        <v>43087</v>
      </c>
      <c r="C124" s="24" t="s">
        <v>2349</v>
      </c>
      <c r="D124" s="26" t="s">
        <v>3121</v>
      </c>
      <c r="E124" s="26" t="s">
        <v>3138</v>
      </c>
      <c r="F124" s="26" t="s">
        <v>3139</v>
      </c>
      <c r="G124" s="29" t="s">
        <v>28</v>
      </c>
      <c r="H124" s="26" t="s">
        <v>23</v>
      </c>
      <c r="I124" s="26" t="s">
        <v>3004</v>
      </c>
      <c r="J124" s="32">
        <v>4130</v>
      </c>
      <c r="K124" s="32">
        <v>48.117199999999997</v>
      </c>
      <c r="L124" s="33">
        <f t="shared" si="10"/>
        <v>85.832093305512373</v>
      </c>
      <c r="M124" s="26">
        <v>60</v>
      </c>
      <c r="N124" s="37">
        <f t="shared" si="11"/>
        <v>68.833333333333329</v>
      </c>
      <c r="O124" s="38">
        <f t="shared" ca="1" si="12"/>
        <v>92</v>
      </c>
      <c r="P124" s="36">
        <f t="shared" ca="1" si="9"/>
        <v>-2202.6666666666661</v>
      </c>
      <c r="Q124" s="36">
        <f t="shared" ca="1" si="8"/>
        <v>1</v>
      </c>
      <c r="R124" s="49" t="s">
        <v>3124</v>
      </c>
    </row>
    <row r="125" spans="2:18" s="5" customFormat="1" ht="72.75" customHeight="1" x14ac:dyDescent="0.25">
      <c r="B125" s="27">
        <v>43087</v>
      </c>
      <c r="C125" s="24" t="s">
        <v>2349</v>
      </c>
      <c r="D125" s="26" t="s">
        <v>3121</v>
      </c>
      <c r="E125" s="26" t="s">
        <v>3140</v>
      </c>
      <c r="F125" s="26" t="s">
        <v>3139</v>
      </c>
      <c r="G125" s="29" t="s">
        <v>28</v>
      </c>
      <c r="H125" s="26" t="s">
        <v>318</v>
      </c>
      <c r="I125" s="26" t="s">
        <v>3007</v>
      </c>
      <c r="J125" s="32">
        <v>4130</v>
      </c>
      <c r="K125" s="32">
        <v>48.117199999999997</v>
      </c>
      <c r="L125" s="33">
        <f t="shared" si="10"/>
        <v>85.832093305512373</v>
      </c>
      <c r="M125" s="26">
        <v>60</v>
      </c>
      <c r="N125" s="37">
        <f t="shared" si="11"/>
        <v>68.833333333333329</v>
      </c>
      <c r="O125" s="38">
        <f t="shared" ca="1" si="12"/>
        <v>92</v>
      </c>
      <c r="P125" s="36">
        <f t="shared" ca="1" si="9"/>
        <v>-2202.6666666666661</v>
      </c>
      <c r="Q125" s="36">
        <f t="shared" ref="Q125:Q184" ca="1" si="13">IF(P125&lt;1,1,P125)</f>
        <v>1</v>
      </c>
      <c r="R125" s="49" t="s">
        <v>3124</v>
      </c>
    </row>
    <row r="126" spans="2:18" s="5" customFormat="1" ht="71.25" customHeight="1" x14ac:dyDescent="0.25">
      <c r="B126" s="27">
        <v>43087</v>
      </c>
      <c r="C126" s="24" t="s">
        <v>2349</v>
      </c>
      <c r="D126" s="26" t="s">
        <v>3121</v>
      </c>
      <c r="E126" s="26" t="s">
        <v>3141</v>
      </c>
      <c r="F126" s="26" t="s">
        <v>3139</v>
      </c>
      <c r="G126" s="29" t="s">
        <v>28</v>
      </c>
      <c r="H126" s="26" t="s">
        <v>3012</v>
      </c>
      <c r="I126" s="26" t="s">
        <v>3013</v>
      </c>
      <c r="J126" s="32">
        <v>4130</v>
      </c>
      <c r="K126" s="32">
        <v>48.117199999999997</v>
      </c>
      <c r="L126" s="33">
        <f t="shared" si="10"/>
        <v>85.832093305512373</v>
      </c>
      <c r="M126" s="26">
        <v>60</v>
      </c>
      <c r="N126" s="37">
        <f t="shared" si="11"/>
        <v>68.833333333333329</v>
      </c>
      <c r="O126" s="38">
        <f t="shared" ca="1" si="12"/>
        <v>92</v>
      </c>
      <c r="P126" s="36">
        <f t="shared" ca="1" si="9"/>
        <v>-2202.6666666666661</v>
      </c>
      <c r="Q126" s="36">
        <f t="shared" ca="1" si="13"/>
        <v>1</v>
      </c>
      <c r="R126" s="49" t="s">
        <v>3124</v>
      </c>
    </row>
    <row r="127" spans="2:18" s="5" customFormat="1" ht="78" customHeight="1" x14ac:dyDescent="0.25">
      <c r="B127" s="27">
        <v>43087</v>
      </c>
      <c r="C127" s="24" t="s">
        <v>2349</v>
      </c>
      <c r="D127" s="26" t="s">
        <v>3121</v>
      </c>
      <c r="E127" s="26" t="s">
        <v>3142</v>
      </c>
      <c r="F127" s="26" t="s">
        <v>3139</v>
      </c>
      <c r="G127" s="29" t="s">
        <v>28</v>
      </c>
      <c r="H127" s="26" t="s">
        <v>3009</v>
      </c>
      <c r="I127" s="26" t="s">
        <v>3010</v>
      </c>
      <c r="J127" s="32">
        <v>4130</v>
      </c>
      <c r="K127" s="32">
        <v>48.117199999999997</v>
      </c>
      <c r="L127" s="33">
        <f t="shared" si="10"/>
        <v>85.832093305512373</v>
      </c>
      <c r="M127" s="26">
        <v>60</v>
      </c>
      <c r="N127" s="37">
        <f t="shared" si="11"/>
        <v>68.833333333333329</v>
      </c>
      <c r="O127" s="38">
        <f t="shared" ca="1" si="12"/>
        <v>92</v>
      </c>
      <c r="P127" s="36">
        <f t="shared" ca="1" si="9"/>
        <v>-2202.6666666666661</v>
      </c>
      <c r="Q127" s="36">
        <f t="shared" ca="1" si="13"/>
        <v>1</v>
      </c>
      <c r="R127" s="49" t="s">
        <v>3124</v>
      </c>
    </row>
    <row r="128" spans="2:18" s="5" customFormat="1" ht="65.25" customHeight="1" x14ac:dyDescent="0.25">
      <c r="B128" s="27">
        <v>43087</v>
      </c>
      <c r="C128" s="24" t="s">
        <v>2349</v>
      </c>
      <c r="D128" s="26" t="s">
        <v>3143</v>
      </c>
      <c r="E128" s="26" t="s">
        <v>3144</v>
      </c>
      <c r="F128" s="26" t="s">
        <v>3145</v>
      </c>
      <c r="G128" s="29" t="s">
        <v>28</v>
      </c>
      <c r="H128" s="26" t="s">
        <v>318</v>
      </c>
      <c r="I128" s="26" t="s">
        <v>3007</v>
      </c>
      <c r="J128" s="32">
        <v>3589.56</v>
      </c>
      <c r="K128" s="32">
        <v>48.117199999999997</v>
      </c>
      <c r="L128" s="33">
        <f t="shared" si="10"/>
        <v>74.600350810105326</v>
      </c>
      <c r="M128" s="26">
        <v>60</v>
      </c>
      <c r="N128" s="37">
        <f t="shared" si="11"/>
        <v>59.826000000000001</v>
      </c>
      <c r="O128" s="38">
        <f t="shared" ca="1" si="12"/>
        <v>92</v>
      </c>
      <c r="P128" s="36">
        <f t="shared" ca="1" si="9"/>
        <v>-1914.4320000000002</v>
      </c>
      <c r="Q128" s="36">
        <f t="shared" ca="1" si="13"/>
        <v>1</v>
      </c>
      <c r="R128" s="49" t="s">
        <v>3146</v>
      </c>
    </row>
    <row r="129" spans="2:18" s="5" customFormat="1" ht="60" customHeight="1" x14ac:dyDescent="0.25">
      <c r="B129" s="27">
        <v>43087</v>
      </c>
      <c r="C129" s="24" t="s">
        <v>2349</v>
      </c>
      <c r="D129" s="26" t="s">
        <v>3143</v>
      </c>
      <c r="E129" s="26" t="s">
        <v>3147</v>
      </c>
      <c r="F129" s="26" t="s">
        <v>3145</v>
      </c>
      <c r="G129" s="29" t="s">
        <v>28</v>
      </c>
      <c r="H129" s="26" t="s">
        <v>3012</v>
      </c>
      <c r="I129" s="26" t="s">
        <v>3013</v>
      </c>
      <c r="J129" s="32">
        <v>3589.56</v>
      </c>
      <c r="K129" s="32">
        <v>48.117199999999997</v>
      </c>
      <c r="L129" s="33">
        <f t="shared" si="10"/>
        <v>74.600350810105326</v>
      </c>
      <c r="M129" s="26">
        <v>60</v>
      </c>
      <c r="N129" s="37">
        <f t="shared" si="11"/>
        <v>59.826000000000001</v>
      </c>
      <c r="O129" s="38">
        <f t="shared" ca="1" si="12"/>
        <v>92</v>
      </c>
      <c r="P129" s="36">
        <f t="shared" ca="1" si="9"/>
        <v>-1914.4320000000002</v>
      </c>
      <c r="Q129" s="36">
        <f t="shared" ca="1" si="13"/>
        <v>1</v>
      </c>
      <c r="R129" s="49" t="s">
        <v>3146</v>
      </c>
    </row>
    <row r="130" spans="2:18" s="5" customFormat="1" ht="79.5" customHeight="1" x14ac:dyDescent="0.25">
      <c r="B130" s="27">
        <v>43087</v>
      </c>
      <c r="C130" s="24" t="s">
        <v>2349</v>
      </c>
      <c r="D130" s="26" t="s">
        <v>3143</v>
      </c>
      <c r="E130" s="26" t="s">
        <v>3148</v>
      </c>
      <c r="F130" s="26" t="s">
        <v>3145</v>
      </c>
      <c r="G130" s="29" t="s">
        <v>28</v>
      </c>
      <c r="H130" s="26" t="s">
        <v>3009</v>
      </c>
      <c r="I130" s="26" t="s">
        <v>3010</v>
      </c>
      <c r="J130" s="32">
        <v>3589.56</v>
      </c>
      <c r="K130" s="32">
        <v>48.117199999999997</v>
      </c>
      <c r="L130" s="33">
        <f t="shared" si="10"/>
        <v>74.600350810105326</v>
      </c>
      <c r="M130" s="26">
        <v>60</v>
      </c>
      <c r="N130" s="37">
        <f t="shared" si="11"/>
        <v>59.826000000000001</v>
      </c>
      <c r="O130" s="38">
        <f t="shared" ca="1" si="12"/>
        <v>92</v>
      </c>
      <c r="P130" s="36">
        <f t="shared" ca="1" si="9"/>
        <v>-1914.4320000000002</v>
      </c>
      <c r="Q130" s="36">
        <f t="shared" ca="1" si="13"/>
        <v>1</v>
      </c>
      <c r="R130" s="49" t="s">
        <v>3146</v>
      </c>
    </row>
    <row r="131" spans="2:18" s="5" customFormat="1" ht="65.25" customHeight="1" x14ac:dyDescent="0.25">
      <c r="B131" s="27">
        <v>43087</v>
      </c>
      <c r="C131" s="24" t="s">
        <v>2349</v>
      </c>
      <c r="D131" s="26" t="s">
        <v>3143</v>
      </c>
      <c r="E131" s="26" t="s">
        <v>3149</v>
      </c>
      <c r="F131" s="26" t="s">
        <v>3150</v>
      </c>
      <c r="G131" s="29" t="s">
        <v>28</v>
      </c>
      <c r="H131" s="26" t="s">
        <v>318</v>
      </c>
      <c r="I131" s="26" t="s">
        <v>3007</v>
      </c>
      <c r="J131" s="32">
        <v>1551.7</v>
      </c>
      <c r="K131" s="32">
        <v>48.117199999999997</v>
      </c>
      <c r="L131" s="33">
        <f t="shared" si="10"/>
        <v>32.248343627642512</v>
      </c>
      <c r="M131" s="26">
        <v>60</v>
      </c>
      <c r="N131" s="37">
        <f t="shared" si="11"/>
        <v>25.861666666666668</v>
      </c>
      <c r="O131" s="38">
        <f t="shared" ca="1" si="12"/>
        <v>92</v>
      </c>
      <c r="P131" s="36">
        <f t="shared" ca="1" si="9"/>
        <v>-827.57333333333349</v>
      </c>
      <c r="Q131" s="36">
        <f t="shared" ca="1" si="13"/>
        <v>1</v>
      </c>
      <c r="R131" s="49" t="s">
        <v>3146</v>
      </c>
    </row>
    <row r="132" spans="2:18" s="5" customFormat="1" ht="46.9" customHeight="1" x14ac:dyDescent="0.25">
      <c r="B132" s="27">
        <v>43087</v>
      </c>
      <c r="C132" s="24" t="s">
        <v>2349</v>
      </c>
      <c r="D132" s="26" t="s">
        <v>3143</v>
      </c>
      <c r="E132" s="26" t="s">
        <v>3151</v>
      </c>
      <c r="F132" s="26" t="s">
        <v>3150</v>
      </c>
      <c r="G132" s="29" t="s">
        <v>28</v>
      </c>
      <c r="H132" s="26" t="s">
        <v>318</v>
      </c>
      <c r="I132" s="26" t="s">
        <v>3007</v>
      </c>
      <c r="J132" s="32">
        <v>1551.7</v>
      </c>
      <c r="K132" s="32">
        <v>48.117199999999997</v>
      </c>
      <c r="L132" s="33">
        <f t="shared" si="10"/>
        <v>32.248343627642512</v>
      </c>
      <c r="M132" s="26">
        <v>60</v>
      </c>
      <c r="N132" s="37">
        <f t="shared" si="11"/>
        <v>25.861666666666668</v>
      </c>
      <c r="O132" s="38">
        <f t="shared" ca="1" si="12"/>
        <v>92</v>
      </c>
      <c r="P132" s="36">
        <f t="shared" ca="1" si="9"/>
        <v>-827.57333333333349</v>
      </c>
      <c r="Q132" s="36">
        <f t="shared" ca="1" si="13"/>
        <v>1</v>
      </c>
      <c r="R132" s="49" t="s">
        <v>3146</v>
      </c>
    </row>
    <row r="133" spans="2:18" s="5" customFormat="1" ht="71.25" customHeight="1" x14ac:dyDescent="0.25">
      <c r="B133" s="27">
        <v>43087</v>
      </c>
      <c r="C133" s="24" t="s">
        <v>2349</v>
      </c>
      <c r="D133" s="26" t="s">
        <v>3143</v>
      </c>
      <c r="E133" s="26" t="s">
        <v>3152</v>
      </c>
      <c r="F133" s="26" t="s">
        <v>3150</v>
      </c>
      <c r="G133" s="29" t="s">
        <v>28</v>
      </c>
      <c r="H133" s="26" t="s">
        <v>3009</v>
      </c>
      <c r="I133" s="26" t="s">
        <v>3010</v>
      </c>
      <c r="J133" s="32">
        <v>1551.7</v>
      </c>
      <c r="K133" s="32">
        <v>48.117199999999997</v>
      </c>
      <c r="L133" s="33">
        <f t="shared" si="10"/>
        <v>32.248343627642512</v>
      </c>
      <c r="M133" s="26">
        <v>60</v>
      </c>
      <c r="N133" s="37">
        <f t="shared" si="11"/>
        <v>25.861666666666668</v>
      </c>
      <c r="O133" s="38">
        <f t="shared" ca="1" si="12"/>
        <v>92</v>
      </c>
      <c r="P133" s="36">
        <f t="shared" ca="1" si="9"/>
        <v>-827.57333333333349</v>
      </c>
      <c r="Q133" s="36">
        <f t="shared" ca="1" si="13"/>
        <v>1</v>
      </c>
      <c r="R133" s="49" t="s">
        <v>3146</v>
      </c>
    </row>
    <row r="134" spans="2:18" s="5" customFormat="1" ht="78.75" customHeight="1" x14ac:dyDescent="0.25">
      <c r="B134" s="27">
        <v>43087</v>
      </c>
      <c r="C134" s="24" t="s">
        <v>2349</v>
      </c>
      <c r="D134" s="26" t="s">
        <v>3143</v>
      </c>
      <c r="E134" s="26" t="s">
        <v>3153</v>
      </c>
      <c r="F134" s="26" t="s">
        <v>3150</v>
      </c>
      <c r="G134" s="29" t="s">
        <v>28</v>
      </c>
      <c r="H134" s="26" t="s">
        <v>3009</v>
      </c>
      <c r="I134" s="26" t="s">
        <v>3010</v>
      </c>
      <c r="J134" s="32">
        <v>1551.7</v>
      </c>
      <c r="K134" s="32">
        <v>48.117199999999997</v>
      </c>
      <c r="L134" s="33">
        <f t="shared" si="10"/>
        <v>32.248343627642512</v>
      </c>
      <c r="M134" s="26">
        <v>60</v>
      </c>
      <c r="N134" s="37">
        <f t="shared" si="11"/>
        <v>25.861666666666668</v>
      </c>
      <c r="O134" s="38">
        <f t="shared" ca="1" si="12"/>
        <v>92</v>
      </c>
      <c r="P134" s="36">
        <f t="shared" ca="1" si="9"/>
        <v>-827.57333333333349</v>
      </c>
      <c r="Q134" s="36">
        <f t="shared" ca="1" si="13"/>
        <v>1</v>
      </c>
      <c r="R134" s="49" t="s">
        <v>3146</v>
      </c>
    </row>
    <row r="135" spans="2:18" s="5" customFormat="1" ht="81" customHeight="1" x14ac:dyDescent="0.25">
      <c r="B135" s="27">
        <v>43087</v>
      </c>
      <c r="C135" s="24" t="s">
        <v>2349</v>
      </c>
      <c r="D135" s="26" t="s">
        <v>3143</v>
      </c>
      <c r="E135" s="26" t="s">
        <v>3154</v>
      </c>
      <c r="F135" s="26" t="s">
        <v>3155</v>
      </c>
      <c r="G135" s="29" t="s">
        <v>28</v>
      </c>
      <c r="H135" s="26" t="s">
        <v>23</v>
      </c>
      <c r="I135" s="26" t="s">
        <v>3004</v>
      </c>
      <c r="J135" s="32">
        <v>6655.2</v>
      </c>
      <c r="K135" s="32">
        <v>48.117199999999997</v>
      </c>
      <c r="L135" s="33">
        <f t="shared" si="10"/>
        <v>138.31228749802565</v>
      </c>
      <c r="M135" s="26">
        <v>60</v>
      </c>
      <c r="N135" s="37">
        <f t="shared" si="11"/>
        <v>110.92</v>
      </c>
      <c r="O135" s="38">
        <f t="shared" ca="1" si="12"/>
        <v>92</v>
      </c>
      <c r="P135" s="36">
        <f t="shared" ca="1" si="9"/>
        <v>-3549.4399999999996</v>
      </c>
      <c r="Q135" s="36">
        <f t="shared" ca="1" si="13"/>
        <v>1</v>
      </c>
      <c r="R135" s="49" t="s">
        <v>3146</v>
      </c>
    </row>
    <row r="136" spans="2:18" s="5" customFormat="1" ht="50.25" customHeight="1" x14ac:dyDescent="0.25">
      <c r="B136" s="27">
        <v>43087</v>
      </c>
      <c r="C136" s="24" t="s">
        <v>2349</v>
      </c>
      <c r="D136" s="26" t="s">
        <v>3143</v>
      </c>
      <c r="E136" s="26" t="s">
        <v>3156</v>
      </c>
      <c r="F136" s="26" t="s">
        <v>3155</v>
      </c>
      <c r="G136" s="29" t="s">
        <v>28</v>
      </c>
      <c r="H136" s="26" t="s">
        <v>318</v>
      </c>
      <c r="I136" s="26" t="s">
        <v>3007</v>
      </c>
      <c r="J136" s="32">
        <v>6655.2</v>
      </c>
      <c r="K136" s="32">
        <v>48.117199999999997</v>
      </c>
      <c r="L136" s="33">
        <f t="shared" si="10"/>
        <v>138.31228749802565</v>
      </c>
      <c r="M136" s="26">
        <v>60</v>
      </c>
      <c r="N136" s="37">
        <f t="shared" si="11"/>
        <v>110.92</v>
      </c>
      <c r="O136" s="38">
        <f t="shared" ca="1" si="12"/>
        <v>92</v>
      </c>
      <c r="P136" s="36">
        <f t="shared" ca="1" si="9"/>
        <v>-3549.4399999999996</v>
      </c>
      <c r="Q136" s="36">
        <f t="shared" ca="1" si="13"/>
        <v>1</v>
      </c>
      <c r="R136" s="49" t="s">
        <v>3146</v>
      </c>
    </row>
    <row r="137" spans="2:18" s="5" customFormat="1" ht="51" customHeight="1" x14ac:dyDescent="0.25">
      <c r="B137" s="27">
        <v>43087</v>
      </c>
      <c r="C137" s="24" t="s">
        <v>2349</v>
      </c>
      <c r="D137" s="26" t="s">
        <v>3143</v>
      </c>
      <c r="E137" s="26" t="s">
        <v>3157</v>
      </c>
      <c r="F137" s="26" t="s">
        <v>3155</v>
      </c>
      <c r="G137" s="29" t="s">
        <v>28</v>
      </c>
      <c r="H137" s="26" t="s">
        <v>3009</v>
      </c>
      <c r="I137" s="26" t="s">
        <v>3010</v>
      </c>
      <c r="J137" s="32">
        <v>6655.2</v>
      </c>
      <c r="K137" s="32">
        <v>48.117199999999997</v>
      </c>
      <c r="L137" s="33">
        <f t="shared" si="10"/>
        <v>138.31228749802565</v>
      </c>
      <c r="M137" s="26">
        <v>60</v>
      </c>
      <c r="N137" s="37">
        <f t="shared" si="11"/>
        <v>110.92</v>
      </c>
      <c r="O137" s="38">
        <f t="shared" ca="1" si="12"/>
        <v>92</v>
      </c>
      <c r="P137" s="36">
        <f t="shared" ref="P137:P200" ca="1" si="14">IF(OR(J137=0,M137=0,O137=0),0,J137-(N137*O137))</f>
        <v>-3549.4399999999996</v>
      </c>
      <c r="Q137" s="36">
        <f t="shared" ca="1" si="13"/>
        <v>1</v>
      </c>
      <c r="R137" s="49" t="s">
        <v>3146</v>
      </c>
    </row>
    <row r="138" spans="2:18" s="5" customFormat="1" ht="75" customHeight="1" x14ac:dyDescent="0.25">
      <c r="B138" s="27">
        <v>43087</v>
      </c>
      <c r="C138" s="24" t="s">
        <v>2349</v>
      </c>
      <c r="D138" s="26" t="s">
        <v>3158</v>
      </c>
      <c r="E138" s="26" t="s">
        <v>3159</v>
      </c>
      <c r="F138" s="26" t="s">
        <v>3160</v>
      </c>
      <c r="G138" s="29" t="s">
        <v>28</v>
      </c>
      <c r="H138" s="26" t="s">
        <v>23</v>
      </c>
      <c r="I138" s="26" t="s">
        <v>3004</v>
      </c>
      <c r="J138" s="32">
        <v>4264.857</v>
      </c>
      <c r="K138" s="32">
        <v>48.117199999999997</v>
      </c>
      <c r="L138" s="33">
        <f t="shared" si="10"/>
        <v>88.634770934302082</v>
      </c>
      <c r="M138" s="26">
        <v>60</v>
      </c>
      <c r="N138" s="37">
        <f t="shared" si="11"/>
        <v>71.080950000000001</v>
      </c>
      <c r="O138" s="38">
        <f t="shared" ca="1" si="12"/>
        <v>92</v>
      </c>
      <c r="P138" s="36">
        <f t="shared" ca="1" si="14"/>
        <v>-2274.5904</v>
      </c>
      <c r="Q138" s="36">
        <f t="shared" ca="1" si="13"/>
        <v>1</v>
      </c>
      <c r="R138" s="49" t="s">
        <v>3161</v>
      </c>
    </row>
    <row r="139" spans="2:18" s="5" customFormat="1" ht="80.25" customHeight="1" x14ac:dyDescent="0.25">
      <c r="B139" s="27">
        <v>43087</v>
      </c>
      <c r="C139" s="24" t="s">
        <v>2349</v>
      </c>
      <c r="D139" s="26" t="s">
        <v>3158</v>
      </c>
      <c r="E139" s="26" t="s">
        <v>3162</v>
      </c>
      <c r="F139" s="26" t="s">
        <v>3160</v>
      </c>
      <c r="G139" s="29" t="s">
        <v>28</v>
      </c>
      <c r="H139" s="26" t="s">
        <v>23</v>
      </c>
      <c r="I139" s="26" t="s">
        <v>3004</v>
      </c>
      <c r="J139" s="32">
        <v>4264.857</v>
      </c>
      <c r="K139" s="32">
        <v>48.117199999999997</v>
      </c>
      <c r="L139" s="33">
        <f t="shared" ref="L139:L170" si="15">+J139/K139</f>
        <v>88.634770934302082</v>
      </c>
      <c r="M139" s="26">
        <v>60</v>
      </c>
      <c r="N139" s="37">
        <f t="shared" ref="N139:N170" si="16">IF(AND(J139&lt;&gt;0,M139&lt;&gt;0),J139/M139,0)</f>
        <v>71.080950000000001</v>
      </c>
      <c r="O139" s="38">
        <f t="shared" ca="1" si="12"/>
        <v>92</v>
      </c>
      <c r="P139" s="36">
        <f t="shared" ca="1" si="14"/>
        <v>-2274.5904</v>
      </c>
      <c r="Q139" s="36">
        <f t="shared" ca="1" si="13"/>
        <v>1</v>
      </c>
      <c r="R139" s="49" t="s">
        <v>3161</v>
      </c>
    </row>
    <row r="140" spans="2:18" s="5" customFormat="1" ht="67.5" customHeight="1" x14ac:dyDescent="0.25">
      <c r="B140" s="27">
        <v>43087</v>
      </c>
      <c r="C140" s="24" t="s">
        <v>2349</v>
      </c>
      <c r="D140" s="26" t="s">
        <v>3158</v>
      </c>
      <c r="E140" s="26" t="s">
        <v>3163</v>
      </c>
      <c r="F140" s="26" t="s">
        <v>3160</v>
      </c>
      <c r="G140" s="29" t="s">
        <v>28</v>
      </c>
      <c r="H140" s="26" t="s">
        <v>318</v>
      </c>
      <c r="I140" s="26" t="s">
        <v>3007</v>
      </c>
      <c r="J140" s="32">
        <v>4264.857</v>
      </c>
      <c r="K140" s="32">
        <v>48.117199999999997</v>
      </c>
      <c r="L140" s="33">
        <f t="shared" si="15"/>
        <v>88.634770934302082</v>
      </c>
      <c r="M140" s="26">
        <v>60</v>
      </c>
      <c r="N140" s="37">
        <f t="shared" si="16"/>
        <v>71.080950000000001</v>
      </c>
      <c r="O140" s="38">
        <f t="shared" ca="1" si="12"/>
        <v>92</v>
      </c>
      <c r="P140" s="36">
        <f t="shared" ca="1" si="14"/>
        <v>-2274.5904</v>
      </c>
      <c r="Q140" s="36">
        <f t="shared" ca="1" si="13"/>
        <v>1</v>
      </c>
      <c r="R140" s="49" t="s">
        <v>3161</v>
      </c>
    </row>
    <row r="141" spans="2:18" s="5" customFormat="1" ht="69.75" customHeight="1" x14ac:dyDescent="0.25">
      <c r="B141" s="27">
        <v>43087</v>
      </c>
      <c r="C141" s="24" t="s">
        <v>2349</v>
      </c>
      <c r="D141" s="26" t="s">
        <v>3158</v>
      </c>
      <c r="E141" s="26" t="s">
        <v>3164</v>
      </c>
      <c r="F141" s="26" t="s">
        <v>3160</v>
      </c>
      <c r="G141" s="29" t="s">
        <v>28</v>
      </c>
      <c r="H141" s="26" t="s">
        <v>3012</v>
      </c>
      <c r="I141" s="26" t="s">
        <v>3013</v>
      </c>
      <c r="J141" s="32">
        <v>4264.857</v>
      </c>
      <c r="K141" s="32">
        <v>48.117199999999997</v>
      </c>
      <c r="L141" s="33">
        <f t="shared" si="15"/>
        <v>88.634770934302082</v>
      </c>
      <c r="M141" s="26">
        <v>60</v>
      </c>
      <c r="N141" s="37">
        <f t="shared" si="16"/>
        <v>71.080950000000001</v>
      </c>
      <c r="O141" s="38">
        <f t="shared" ca="1" si="12"/>
        <v>92</v>
      </c>
      <c r="P141" s="36">
        <f t="shared" ca="1" si="14"/>
        <v>-2274.5904</v>
      </c>
      <c r="Q141" s="36">
        <f t="shared" ca="1" si="13"/>
        <v>1</v>
      </c>
      <c r="R141" s="49" t="s">
        <v>3161</v>
      </c>
    </row>
    <row r="142" spans="2:18" s="5" customFormat="1" ht="75" customHeight="1" x14ac:dyDescent="0.25">
      <c r="B142" s="27">
        <v>43087</v>
      </c>
      <c r="C142" s="24" t="s">
        <v>2349</v>
      </c>
      <c r="D142" s="26" t="s">
        <v>3158</v>
      </c>
      <c r="E142" s="26" t="s">
        <v>3165</v>
      </c>
      <c r="F142" s="26" t="s">
        <v>3160</v>
      </c>
      <c r="G142" s="29" t="s">
        <v>28</v>
      </c>
      <c r="H142" s="26" t="s">
        <v>3012</v>
      </c>
      <c r="I142" s="26" t="s">
        <v>3013</v>
      </c>
      <c r="J142" s="32">
        <v>4264.857</v>
      </c>
      <c r="K142" s="32">
        <v>48.117199999999997</v>
      </c>
      <c r="L142" s="33">
        <f t="shared" si="15"/>
        <v>88.634770934302082</v>
      </c>
      <c r="M142" s="26">
        <v>60</v>
      </c>
      <c r="N142" s="37">
        <f t="shared" si="16"/>
        <v>71.080950000000001</v>
      </c>
      <c r="O142" s="38">
        <f t="shared" ref="O142:O204" ca="1" si="17">IF(B142&lt;&gt;0,(ROUND((NOW()-B142)/30,0)),0)</f>
        <v>92</v>
      </c>
      <c r="P142" s="36">
        <f t="shared" ca="1" si="14"/>
        <v>-2274.5904</v>
      </c>
      <c r="Q142" s="36">
        <f t="shared" ca="1" si="13"/>
        <v>1</v>
      </c>
      <c r="R142" s="49" t="s">
        <v>3161</v>
      </c>
    </row>
    <row r="143" spans="2:18" s="5" customFormat="1" ht="74.25" customHeight="1" x14ac:dyDescent="0.25">
      <c r="B143" s="27">
        <v>43087</v>
      </c>
      <c r="C143" s="24" t="s">
        <v>2349</v>
      </c>
      <c r="D143" s="26" t="s">
        <v>3158</v>
      </c>
      <c r="E143" s="26" t="s">
        <v>3166</v>
      </c>
      <c r="F143" s="26" t="s">
        <v>3160</v>
      </c>
      <c r="G143" s="29" t="s">
        <v>28</v>
      </c>
      <c r="H143" s="26" t="s">
        <v>3012</v>
      </c>
      <c r="I143" s="26" t="s">
        <v>3013</v>
      </c>
      <c r="J143" s="32">
        <v>4264.857</v>
      </c>
      <c r="K143" s="32">
        <v>48.117199999999997</v>
      </c>
      <c r="L143" s="33">
        <f t="shared" si="15"/>
        <v>88.634770934302082</v>
      </c>
      <c r="M143" s="26">
        <v>60</v>
      </c>
      <c r="N143" s="37">
        <f t="shared" si="16"/>
        <v>71.080950000000001</v>
      </c>
      <c r="O143" s="38">
        <f t="shared" ca="1" si="17"/>
        <v>92</v>
      </c>
      <c r="P143" s="36">
        <f t="shared" ca="1" si="14"/>
        <v>-2274.5904</v>
      </c>
      <c r="Q143" s="36">
        <f t="shared" ca="1" si="13"/>
        <v>1</v>
      </c>
      <c r="R143" s="49" t="s">
        <v>3161</v>
      </c>
    </row>
    <row r="144" spans="2:18" s="5" customFormat="1" ht="76.5" customHeight="1" x14ac:dyDescent="0.25">
      <c r="B144" s="27">
        <v>43087</v>
      </c>
      <c r="C144" s="24" t="s">
        <v>2349</v>
      </c>
      <c r="D144" s="26" t="s">
        <v>3158</v>
      </c>
      <c r="E144" s="26" t="s">
        <v>3167</v>
      </c>
      <c r="F144" s="26" t="s">
        <v>3160</v>
      </c>
      <c r="G144" s="29" t="s">
        <v>28</v>
      </c>
      <c r="H144" s="26" t="s">
        <v>3009</v>
      </c>
      <c r="I144" s="26" t="s">
        <v>3010</v>
      </c>
      <c r="J144" s="32">
        <v>4264.857</v>
      </c>
      <c r="K144" s="32">
        <v>48.117199999999997</v>
      </c>
      <c r="L144" s="33">
        <f t="shared" si="15"/>
        <v>88.634770934302082</v>
      </c>
      <c r="M144" s="26">
        <v>60</v>
      </c>
      <c r="N144" s="37">
        <f t="shared" si="16"/>
        <v>71.080950000000001</v>
      </c>
      <c r="O144" s="38">
        <f t="shared" ca="1" si="17"/>
        <v>92</v>
      </c>
      <c r="P144" s="36">
        <f t="shared" ca="1" si="14"/>
        <v>-2274.5904</v>
      </c>
      <c r="Q144" s="36">
        <f t="shared" ca="1" si="13"/>
        <v>1</v>
      </c>
      <c r="R144" s="49" t="s">
        <v>3161</v>
      </c>
    </row>
    <row r="145" spans="1:20" s="5" customFormat="1" ht="99.75" customHeight="1" x14ac:dyDescent="0.25">
      <c r="B145" s="27">
        <v>43089</v>
      </c>
      <c r="C145" s="24" t="s">
        <v>2349</v>
      </c>
      <c r="D145" s="26" t="s">
        <v>3168</v>
      </c>
      <c r="E145" s="26" t="s">
        <v>3169</v>
      </c>
      <c r="F145" s="26" t="s">
        <v>3170</v>
      </c>
      <c r="G145" s="29" t="s">
        <v>3171</v>
      </c>
      <c r="H145" s="26" t="s">
        <v>1155</v>
      </c>
      <c r="I145" s="26" t="s">
        <v>19</v>
      </c>
      <c r="J145" s="32">
        <v>597112</v>
      </c>
      <c r="K145" s="32">
        <v>48.164299999999997</v>
      </c>
      <c r="L145" s="33">
        <f t="shared" si="15"/>
        <v>12397.398072846487</v>
      </c>
      <c r="M145" s="26">
        <v>60</v>
      </c>
      <c r="N145" s="37">
        <f t="shared" si="16"/>
        <v>9951.8666666666668</v>
      </c>
      <c r="O145" s="38">
        <f t="shared" ca="1" si="17"/>
        <v>92</v>
      </c>
      <c r="P145" s="36">
        <f t="shared" ca="1" si="14"/>
        <v>-318459.7333333334</v>
      </c>
      <c r="Q145" s="36">
        <f t="shared" ca="1" si="13"/>
        <v>1</v>
      </c>
      <c r="R145" s="49" t="s">
        <v>3172</v>
      </c>
    </row>
    <row r="146" spans="1:20" s="5" customFormat="1" ht="46.9" customHeight="1" x14ac:dyDescent="0.25">
      <c r="B146" s="27">
        <v>43089</v>
      </c>
      <c r="C146" s="24" t="s">
        <v>2349</v>
      </c>
      <c r="D146" s="26" t="s">
        <v>3168</v>
      </c>
      <c r="E146" s="26" t="s">
        <v>3173</v>
      </c>
      <c r="F146" s="26" t="s">
        <v>3174</v>
      </c>
      <c r="G146" s="29" t="s">
        <v>3171</v>
      </c>
      <c r="H146" s="26" t="s">
        <v>843</v>
      </c>
      <c r="I146" s="26" t="s">
        <v>19</v>
      </c>
      <c r="J146" s="32">
        <f t="shared" ref="J146:J152" si="18">143400+25812</f>
        <v>169212</v>
      </c>
      <c r="K146" s="32">
        <v>48.164299999999997</v>
      </c>
      <c r="L146" s="33">
        <f t="shared" si="15"/>
        <v>3513.2245252188864</v>
      </c>
      <c r="M146" s="26">
        <v>60</v>
      </c>
      <c r="N146" s="37">
        <f t="shared" si="16"/>
        <v>2820.2</v>
      </c>
      <c r="O146" s="38">
        <f t="shared" ca="1" si="17"/>
        <v>92</v>
      </c>
      <c r="P146" s="36">
        <f t="shared" ca="1" si="14"/>
        <v>-90246.399999999994</v>
      </c>
      <c r="Q146" s="36">
        <f t="shared" ca="1" si="13"/>
        <v>1</v>
      </c>
      <c r="R146" s="49" t="s">
        <v>3172</v>
      </c>
    </row>
    <row r="147" spans="1:20" s="5" customFormat="1" ht="46.9" customHeight="1" x14ac:dyDescent="0.25">
      <c r="B147" s="27">
        <v>43089</v>
      </c>
      <c r="C147" s="24" t="s">
        <v>2349</v>
      </c>
      <c r="D147" s="26" t="s">
        <v>3168</v>
      </c>
      <c r="E147" s="26" t="s">
        <v>3175</v>
      </c>
      <c r="F147" s="26" t="s">
        <v>3174</v>
      </c>
      <c r="G147" s="29" t="s">
        <v>3171</v>
      </c>
      <c r="H147" s="26" t="s">
        <v>2816</v>
      </c>
      <c r="I147" s="26" t="s">
        <v>19</v>
      </c>
      <c r="J147" s="32">
        <f t="shared" si="18"/>
        <v>169212</v>
      </c>
      <c r="K147" s="32">
        <v>48.164299999999997</v>
      </c>
      <c r="L147" s="33">
        <f t="shared" si="15"/>
        <v>3513.2245252188864</v>
      </c>
      <c r="M147" s="26">
        <v>60</v>
      </c>
      <c r="N147" s="37">
        <f t="shared" si="16"/>
        <v>2820.2</v>
      </c>
      <c r="O147" s="38">
        <f t="shared" ca="1" si="17"/>
        <v>92</v>
      </c>
      <c r="P147" s="36">
        <f t="shared" ca="1" si="14"/>
        <v>-90246.399999999994</v>
      </c>
      <c r="Q147" s="36">
        <f t="shared" ca="1" si="13"/>
        <v>1</v>
      </c>
      <c r="R147" s="49" t="s">
        <v>3172</v>
      </c>
    </row>
    <row r="148" spans="1:20" s="5" customFormat="1" ht="48" customHeight="1" x14ac:dyDescent="0.25">
      <c r="B148" s="27">
        <v>43089</v>
      </c>
      <c r="C148" s="24" t="s">
        <v>2349</v>
      </c>
      <c r="D148" s="26" t="s">
        <v>3168</v>
      </c>
      <c r="E148" s="26" t="s">
        <v>3176</v>
      </c>
      <c r="F148" s="26" t="s">
        <v>3174</v>
      </c>
      <c r="G148" s="29" t="s">
        <v>3171</v>
      </c>
      <c r="H148" s="26" t="s">
        <v>3177</v>
      </c>
      <c r="I148" s="26" t="s">
        <v>19</v>
      </c>
      <c r="J148" s="32">
        <f t="shared" si="18"/>
        <v>169212</v>
      </c>
      <c r="K148" s="32">
        <v>48.164299999999997</v>
      </c>
      <c r="L148" s="33">
        <f t="shared" si="15"/>
        <v>3513.2245252188864</v>
      </c>
      <c r="M148" s="26">
        <v>60</v>
      </c>
      <c r="N148" s="37">
        <f t="shared" si="16"/>
        <v>2820.2</v>
      </c>
      <c r="O148" s="38">
        <f t="shared" ca="1" si="17"/>
        <v>92</v>
      </c>
      <c r="P148" s="36">
        <f t="shared" ca="1" si="14"/>
        <v>-90246.399999999994</v>
      </c>
      <c r="Q148" s="36">
        <f t="shared" ca="1" si="13"/>
        <v>1</v>
      </c>
      <c r="R148" s="49" t="s">
        <v>3172</v>
      </c>
    </row>
    <row r="149" spans="1:20" s="5" customFormat="1" ht="38.25" x14ac:dyDescent="0.25">
      <c r="B149" s="27">
        <v>43089</v>
      </c>
      <c r="C149" s="24" t="s">
        <v>2349</v>
      </c>
      <c r="D149" s="26" t="s">
        <v>3168</v>
      </c>
      <c r="E149" s="26" t="s">
        <v>3178</v>
      </c>
      <c r="F149" s="26" t="s">
        <v>3174</v>
      </c>
      <c r="G149" s="29" t="s">
        <v>3171</v>
      </c>
      <c r="H149" s="26" t="s">
        <v>3179</v>
      </c>
      <c r="I149" s="26" t="s">
        <v>3180</v>
      </c>
      <c r="J149" s="32">
        <f t="shared" si="18"/>
        <v>169212</v>
      </c>
      <c r="K149" s="32">
        <v>48.164299999999997</v>
      </c>
      <c r="L149" s="33">
        <f t="shared" si="15"/>
        <v>3513.2245252188864</v>
      </c>
      <c r="M149" s="26">
        <v>60</v>
      </c>
      <c r="N149" s="37">
        <f t="shared" si="16"/>
        <v>2820.2</v>
      </c>
      <c r="O149" s="38">
        <f t="shared" ca="1" si="17"/>
        <v>92</v>
      </c>
      <c r="P149" s="36">
        <f t="shared" ca="1" si="14"/>
        <v>-90246.399999999994</v>
      </c>
      <c r="Q149" s="36">
        <f t="shared" ca="1" si="13"/>
        <v>1</v>
      </c>
      <c r="R149" s="49" t="s">
        <v>3172</v>
      </c>
    </row>
    <row r="150" spans="1:20" s="5" customFormat="1" ht="46.9" customHeight="1" x14ac:dyDescent="0.25">
      <c r="B150" s="27">
        <v>43089</v>
      </c>
      <c r="C150" s="24" t="s">
        <v>2349</v>
      </c>
      <c r="D150" s="26" t="s">
        <v>3168</v>
      </c>
      <c r="E150" s="26" t="s">
        <v>3181</v>
      </c>
      <c r="F150" s="26" t="s">
        <v>3174</v>
      </c>
      <c r="G150" s="29" t="s">
        <v>3171</v>
      </c>
      <c r="H150" s="25" t="s">
        <v>764</v>
      </c>
      <c r="I150" s="26" t="s">
        <v>19</v>
      </c>
      <c r="J150" s="32">
        <f t="shared" si="18"/>
        <v>169212</v>
      </c>
      <c r="K150" s="32">
        <v>48.164299999999997</v>
      </c>
      <c r="L150" s="33">
        <f t="shared" si="15"/>
        <v>3513.2245252188864</v>
      </c>
      <c r="M150" s="26">
        <v>60</v>
      </c>
      <c r="N150" s="37">
        <f t="shared" si="16"/>
        <v>2820.2</v>
      </c>
      <c r="O150" s="38">
        <f t="shared" ca="1" si="17"/>
        <v>92</v>
      </c>
      <c r="P150" s="36">
        <f t="shared" ca="1" si="14"/>
        <v>-90246.399999999994</v>
      </c>
      <c r="Q150" s="36">
        <f t="shared" ca="1" si="13"/>
        <v>1</v>
      </c>
      <c r="R150" s="49" t="s">
        <v>3172</v>
      </c>
    </row>
    <row r="151" spans="1:20" s="5" customFormat="1" ht="46.9" customHeight="1" x14ac:dyDescent="0.25">
      <c r="B151" s="27">
        <v>43089</v>
      </c>
      <c r="C151" s="24" t="s">
        <v>2349</v>
      </c>
      <c r="D151" s="26" t="s">
        <v>3168</v>
      </c>
      <c r="E151" s="26" t="s">
        <v>3182</v>
      </c>
      <c r="F151" s="26" t="s">
        <v>3174</v>
      </c>
      <c r="G151" s="29" t="s">
        <v>3171</v>
      </c>
      <c r="H151" s="25" t="s">
        <v>2927</v>
      </c>
      <c r="I151" s="26" t="s">
        <v>19</v>
      </c>
      <c r="J151" s="32">
        <f t="shared" si="18"/>
        <v>169212</v>
      </c>
      <c r="K151" s="32">
        <v>48.164299999999997</v>
      </c>
      <c r="L151" s="33">
        <f t="shared" si="15"/>
        <v>3513.2245252188864</v>
      </c>
      <c r="M151" s="26">
        <v>60</v>
      </c>
      <c r="N151" s="37">
        <f t="shared" si="16"/>
        <v>2820.2</v>
      </c>
      <c r="O151" s="38">
        <f t="shared" ca="1" si="17"/>
        <v>92</v>
      </c>
      <c r="P151" s="36">
        <f t="shared" ca="1" si="14"/>
        <v>-90246.399999999994</v>
      </c>
      <c r="Q151" s="36">
        <f t="shared" ca="1" si="13"/>
        <v>1</v>
      </c>
      <c r="R151" s="49" t="s">
        <v>3172</v>
      </c>
    </row>
    <row r="152" spans="1:20" s="44" customFormat="1" ht="46.9" customHeight="1" x14ac:dyDescent="0.25">
      <c r="B152" s="28">
        <v>43089</v>
      </c>
      <c r="C152" s="58" t="s">
        <v>2349</v>
      </c>
      <c r="D152" s="29" t="s">
        <v>3168</v>
      </c>
      <c r="E152" s="29" t="s">
        <v>3183</v>
      </c>
      <c r="F152" s="29" t="s">
        <v>3174</v>
      </c>
      <c r="G152" s="29" t="s">
        <v>3171</v>
      </c>
      <c r="H152" s="29" t="s">
        <v>77</v>
      </c>
      <c r="I152" s="29" t="s">
        <v>19</v>
      </c>
      <c r="J152" s="39">
        <f t="shared" si="18"/>
        <v>169212</v>
      </c>
      <c r="K152" s="39">
        <v>48.164299999999997</v>
      </c>
      <c r="L152" s="40">
        <f t="shared" si="15"/>
        <v>3513.2245252188864</v>
      </c>
      <c r="M152" s="29">
        <v>60</v>
      </c>
      <c r="N152" s="41">
        <f t="shared" si="16"/>
        <v>2820.2</v>
      </c>
      <c r="O152" s="42">
        <f t="shared" ca="1" si="17"/>
        <v>92</v>
      </c>
      <c r="P152" s="43">
        <f t="shared" ca="1" si="14"/>
        <v>-90246.399999999994</v>
      </c>
      <c r="Q152" s="43">
        <f t="shared" ca="1" si="13"/>
        <v>1</v>
      </c>
      <c r="R152" s="533" t="s">
        <v>3172</v>
      </c>
      <c r="S152" s="943" t="s">
        <v>6989</v>
      </c>
    </row>
    <row r="153" spans="1:20" s="44" customFormat="1" ht="45" customHeight="1" x14ac:dyDescent="0.25">
      <c r="B153" s="28">
        <v>43089</v>
      </c>
      <c r="C153" s="58" t="s">
        <v>2349</v>
      </c>
      <c r="D153" s="29" t="s">
        <v>3168</v>
      </c>
      <c r="E153" s="29" t="s">
        <v>3184</v>
      </c>
      <c r="F153" s="29" t="s">
        <v>3185</v>
      </c>
      <c r="G153" s="29" t="s">
        <v>3171</v>
      </c>
      <c r="H153" s="29" t="s">
        <v>1107</v>
      </c>
      <c r="I153" s="29" t="s">
        <v>19</v>
      </c>
      <c r="J153" s="39">
        <v>114900</v>
      </c>
      <c r="K153" s="39">
        <v>48.164299999999997</v>
      </c>
      <c r="L153" s="40">
        <f t="shared" si="15"/>
        <v>2385.5843435905849</v>
      </c>
      <c r="M153" s="29">
        <v>120</v>
      </c>
      <c r="N153" s="41">
        <f t="shared" si="16"/>
        <v>957.5</v>
      </c>
      <c r="O153" s="42">
        <f t="shared" ca="1" si="17"/>
        <v>92</v>
      </c>
      <c r="P153" s="43">
        <f t="shared" ca="1" si="14"/>
        <v>26810</v>
      </c>
      <c r="Q153" s="43">
        <f t="shared" ca="1" si="13"/>
        <v>26810</v>
      </c>
      <c r="R153" s="533" t="s">
        <v>3172</v>
      </c>
      <c r="S153" s="943" t="s">
        <v>6989</v>
      </c>
      <c r="T153" s="944"/>
    </row>
    <row r="154" spans="1:20" s="5" customFormat="1" ht="59.25" customHeight="1" x14ac:dyDescent="0.25">
      <c r="A154" s="44"/>
      <c r="B154" s="28">
        <v>43096</v>
      </c>
      <c r="C154" s="58" t="s">
        <v>2349</v>
      </c>
      <c r="D154" s="29" t="s">
        <v>3186</v>
      </c>
      <c r="E154" s="29" t="s">
        <v>3187</v>
      </c>
      <c r="F154" s="29" t="s">
        <v>3188</v>
      </c>
      <c r="G154" s="29" t="s">
        <v>3189</v>
      </c>
      <c r="H154" s="29" t="s">
        <v>40</v>
      </c>
      <c r="I154" s="29" t="s">
        <v>19</v>
      </c>
      <c r="J154" s="39">
        <v>1546200</v>
      </c>
      <c r="K154" s="39">
        <v>48.187899999999999</v>
      </c>
      <c r="L154" s="40">
        <f t="shared" si="15"/>
        <v>32086.893182728443</v>
      </c>
      <c r="M154" s="29">
        <v>60</v>
      </c>
      <c r="N154" s="41">
        <f t="shared" si="16"/>
        <v>25770</v>
      </c>
      <c r="O154" s="42">
        <f t="shared" ca="1" si="17"/>
        <v>92</v>
      </c>
      <c r="P154" s="36">
        <f t="shared" ca="1" si="14"/>
        <v>-824640</v>
      </c>
      <c r="Q154" s="43">
        <f t="shared" ca="1" si="13"/>
        <v>1</v>
      </c>
      <c r="R154" s="533" t="s">
        <v>733</v>
      </c>
    </row>
    <row r="155" spans="1:20" s="5" customFormat="1" ht="58.5" customHeight="1" x14ac:dyDescent="0.25">
      <c r="A155" s="44"/>
      <c r="B155" s="28">
        <v>43096</v>
      </c>
      <c r="C155" s="58" t="s">
        <v>2349</v>
      </c>
      <c r="D155" s="29" t="s">
        <v>3186</v>
      </c>
      <c r="E155" s="29" t="s">
        <v>3190</v>
      </c>
      <c r="F155" s="29" t="s">
        <v>3191</v>
      </c>
      <c r="G155" s="29" t="s">
        <v>3192</v>
      </c>
      <c r="H155" s="29" t="s">
        <v>40</v>
      </c>
      <c r="I155" s="29" t="s">
        <v>19</v>
      </c>
      <c r="J155" s="39">
        <v>1546200</v>
      </c>
      <c r="K155" s="39">
        <v>48.187899999999999</v>
      </c>
      <c r="L155" s="40">
        <f t="shared" si="15"/>
        <v>32086.893182728443</v>
      </c>
      <c r="M155" s="29">
        <v>60</v>
      </c>
      <c r="N155" s="41">
        <f t="shared" si="16"/>
        <v>25770</v>
      </c>
      <c r="O155" s="42">
        <f t="shared" ca="1" si="17"/>
        <v>92</v>
      </c>
      <c r="P155" s="36">
        <f t="shared" ca="1" si="14"/>
        <v>-824640</v>
      </c>
      <c r="Q155" s="43">
        <f t="shared" ca="1" si="13"/>
        <v>1</v>
      </c>
      <c r="R155" s="533" t="s">
        <v>733</v>
      </c>
    </row>
    <row r="156" spans="1:20" s="5" customFormat="1" ht="62.25" customHeight="1" x14ac:dyDescent="0.25">
      <c r="A156" s="44"/>
      <c r="B156" s="28">
        <v>43096</v>
      </c>
      <c r="C156" s="58" t="s">
        <v>2349</v>
      </c>
      <c r="D156" s="29" t="s">
        <v>3186</v>
      </c>
      <c r="E156" s="29" t="s">
        <v>3193</v>
      </c>
      <c r="F156" s="29" t="s">
        <v>3194</v>
      </c>
      <c r="G156" s="29" t="s">
        <v>3195</v>
      </c>
      <c r="H156" s="29" t="s">
        <v>40</v>
      </c>
      <c r="I156" s="29" t="s">
        <v>19</v>
      </c>
      <c r="J156" s="39">
        <v>1546200</v>
      </c>
      <c r="K156" s="39">
        <v>48.187899999999999</v>
      </c>
      <c r="L156" s="40">
        <f t="shared" si="15"/>
        <v>32086.893182728443</v>
      </c>
      <c r="M156" s="29">
        <v>60</v>
      </c>
      <c r="N156" s="41">
        <f t="shared" si="16"/>
        <v>25770</v>
      </c>
      <c r="O156" s="42">
        <f t="shared" ca="1" si="17"/>
        <v>92</v>
      </c>
      <c r="P156" s="36">
        <f t="shared" ca="1" si="14"/>
        <v>-824640</v>
      </c>
      <c r="Q156" s="43">
        <f t="shared" ca="1" si="13"/>
        <v>1</v>
      </c>
      <c r="R156" s="533" t="s">
        <v>733</v>
      </c>
    </row>
    <row r="157" spans="1:20" s="5" customFormat="1" ht="65.25" customHeight="1" x14ac:dyDescent="0.25">
      <c r="A157" s="44"/>
      <c r="B157" s="28">
        <v>43096</v>
      </c>
      <c r="C157" s="58" t="s">
        <v>2349</v>
      </c>
      <c r="D157" s="29" t="s">
        <v>3186</v>
      </c>
      <c r="E157" s="29" t="s">
        <v>3196</v>
      </c>
      <c r="F157" s="29" t="s">
        <v>3197</v>
      </c>
      <c r="G157" s="29" t="s">
        <v>3198</v>
      </c>
      <c r="H157" s="29" t="s">
        <v>40</v>
      </c>
      <c r="I157" s="29" t="s">
        <v>19</v>
      </c>
      <c r="J157" s="39">
        <v>1546200</v>
      </c>
      <c r="K157" s="39">
        <v>48.187899999999999</v>
      </c>
      <c r="L157" s="40">
        <f t="shared" si="15"/>
        <v>32086.893182728443</v>
      </c>
      <c r="M157" s="29">
        <v>60</v>
      </c>
      <c r="N157" s="41">
        <f t="shared" si="16"/>
        <v>25770</v>
      </c>
      <c r="O157" s="42">
        <f t="shared" ca="1" si="17"/>
        <v>92</v>
      </c>
      <c r="P157" s="36">
        <f t="shared" ca="1" si="14"/>
        <v>-824640</v>
      </c>
      <c r="Q157" s="43">
        <f t="shared" ca="1" si="13"/>
        <v>1</v>
      </c>
      <c r="R157" s="533" t="s">
        <v>733</v>
      </c>
    </row>
    <row r="158" spans="1:20" s="5" customFormat="1" ht="39.75" customHeight="1" x14ac:dyDescent="0.25">
      <c r="B158" s="27">
        <v>43096</v>
      </c>
      <c r="C158" s="24" t="s">
        <v>2349</v>
      </c>
      <c r="D158" s="26" t="s">
        <v>3199</v>
      </c>
      <c r="E158" s="26" t="s">
        <v>3200</v>
      </c>
      <c r="F158" s="26" t="s">
        <v>3201</v>
      </c>
      <c r="G158" s="29" t="s">
        <v>3202</v>
      </c>
      <c r="H158" s="26" t="s">
        <v>3203</v>
      </c>
      <c r="I158" s="26" t="s">
        <v>19</v>
      </c>
      <c r="J158" s="32">
        <v>15882.25</v>
      </c>
      <c r="K158" s="32">
        <v>48.187899999999999</v>
      </c>
      <c r="L158" s="33">
        <f t="shared" si="15"/>
        <v>329.5900008093318</v>
      </c>
      <c r="M158" s="26">
        <v>60</v>
      </c>
      <c r="N158" s="37">
        <f t="shared" si="16"/>
        <v>264.70416666666665</v>
      </c>
      <c r="O158" s="38">
        <f t="shared" ca="1" si="17"/>
        <v>92</v>
      </c>
      <c r="P158" s="36">
        <f t="shared" ca="1" si="14"/>
        <v>-8470.5333333333328</v>
      </c>
      <c r="Q158" s="36">
        <f t="shared" ca="1" si="13"/>
        <v>1</v>
      </c>
      <c r="R158" s="49" t="s">
        <v>3204</v>
      </c>
    </row>
    <row r="159" spans="1:20" s="5" customFormat="1" ht="37.5" customHeight="1" x14ac:dyDescent="0.25">
      <c r="B159" s="27">
        <v>43132</v>
      </c>
      <c r="C159" s="24" t="s">
        <v>2349</v>
      </c>
      <c r="D159" s="26" t="s">
        <v>3205</v>
      </c>
      <c r="E159" s="26" t="s">
        <v>3206</v>
      </c>
      <c r="F159" s="26" t="s">
        <v>3207</v>
      </c>
      <c r="G159" s="29" t="s">
        <v>3208</v>
      </c>
      <c r="H159" s="26" t="s">
        <v>1107</v>
      </c>
      <c r="I159" s="26" t="s">
        <v>19</v>
      </c>
      <c r="J159" s="45">
        <v>20399</v>
      </c>
      <c r="K159" s="45">
        <v>48.506300000000003</v>
      </c>
      <c r="L159" s="46">
        <f t="shared" si="15"/>
        <v>420.54331086889744</v>
      </c>
      <c r="M159" s="26">
        <v>60</v>
      </c>
      <c r="N159" s="37">
        <f t="shared" si="16"/>
        <v>339.98333333333335</v>
      </c>
      <c r="O159" s="38">
        <f t="shared" ca="1" si="17"/>
        <v>91</v>
      </c>
      <c r="P159" s="36">
        <f t="shared" ca="1" si="14"/>
        <v>-10539.483333333334</v>
      </c>
      <c r="Q159" s="36">
        <f t="shared" ca="1" si="13"/>
        <v>1</v>
      </c>
      <c r="R159" s="49" t="s">
        <v>3209</v>
      </c>
    </row>
    <row r="160" spans="1:20" s="5" customFormat="1" ht="151.5" customHeight="1" x14ac:dyDescent="0.25">
      <c r="B160" s="27">
        <v>43132</v>
      </c>
      <c r="C160" s="24" t="s">
        <v>2349</v>
      </c>
      <c r="D160" s="26" t="s">
        <v>3210</v>
      </c>
      <c r="E160" s="26" t="s">
        <v>3211</v>
      </c>
      <c r="F160" s="26" t="s">
        <v>3212</v>
      </c>
      <c r="G160" s="29">
        <v>1208551</v>
      </c>
      <c r="H160" s="26" t="s">
        <v>1107</v>
      </c>
      <c r="I160" s="26" t="s">
        <v>19</v>
      </c>
      <c r="J160" s="45">
        <f>107000+13500+13900+6900+7400+7800+28170</f>
        <v>184670</v>
      </c>
      <c r="K160" s="45">
        <v>48.506300000000003</v>
      </c>
      <c r="L160" s="46">
        <f t="shared" si="15"/>
        <v>3807.1343310044258</v>
      </c>
      <c r="M160" s="26">
        <v>60</v>
      </c>
      <c r="N160" s="37">
        <f t="shared" si="16"/>
        <v>3077.8333333333335</v>
      </c>
      <c r="O160" s="38">
        <f t="shared" ca="1" si="17"/>
        <v>91</v>
      </c>
      <c r="P160" s="36">
        <f t="shared" ca="1" si="14"/>
        <v>-95412.833333333372</v>
      </c>
      <c r="Q160" s="36">
        <f t="shared" ca="1" si="13"/>
        <v>1</v>
      </c>
      <c r="R160" s="49" t="s">
        <v>3213</v>
      </c>
    </row>
    <row r="161" spans="1:18" s="5" customFormat="1" ht="116.25" customHeight="1" x14ac:dyDescent="0.25">
      <c r="B161" s="27">
        <v>43132</v>
      </c>
      <c r="C161" s="24" t="s">
        <v>2349</v>
      </c>
      <c r="D161" s="26" t="s">
        <v>3210</v>
      </c>
      <c r="E161" s="26" t="s">
        <v>3214</v>
      </c>
      <c r="F161" s="26" t="s">
        <v>3215</v>
      </c>
      <c r="G161" s="29" t="s">
        <v>28</v>
      </c>
      <c r="H161" s="26" t="s">
        <v>1107</v>
      </c>
      <c r="I161" s="26" t="s">
        <v>19</v>
      </c>
      <c r="J161" s="45">
        <f>9100+1638</f>
        <v>10738</v>
      </c>
      <c r="K161" s="45">
        <v>48.506300000000003</v>
      </c>
      <c r="L161" s="46">
        <f t="shared" si="15"/>
        <v>221.3733061478612</v>
      </c>
      <c r="M161" s="26">
        <v>60</v>
      </c>
      <c r="N161" s="37">
        <f t="shared" si="16"/>
        <v>178.96666666666667</v>
      </c>
      <c r="O161" s="38">
        <f t="shared" ca="1" si="17"/>
        <v>91</v>
      </c>
      <c r="P161" s="36">
        <f t="shared" ca="1" si="14"/>
        <v>-5547.9666666666672</v>
      </c>
      <c r="Q161" s="36">
        <f t="shared" ca="1" si="13"/>
        <v>1</v>
      </c>
      <c r="R161" s="49" t="s">
        <v>3213</v>
      </c>
    </row>
    <row r="162" spans="1:18" s="5" customFormat="1" ht="107.25" customHeight="1" x14ac:dyDescent="0.25">
      <c r="B162" s="27">
        <v>43132</v>
      </c>
      <c r="C162" s="24" t="s">
        <v>2349</v>
      </c>
      <c r="D162" s="26" t="s">
        <v>3210</v>
      </c>
      <c r="E162" s="26" t="s">
        <v>3216</v>
      </c>
      <c r="F162" s="26" t="s">
        <v>3217</v>
      </c>
      <c r="G162" s="29" t="s">
        <v>28</v>
      </c>
      <c r="H162" s="26" t="s">
        <v>1107</v>
      </c>
      <c r="I162" s="26" t="s">
        <v>19</v>
      </c>
      <c r="J162" s="45">
        <f>29500+5310</f>
        <v>34810</v>
      </c>
      <c r="K162" s="45">
        <v>48.506300000000003</v>
      </c>
      <c r="L162" s="46">
        <f t="shared" si="15"/>
        <v>717.63873971009946</v>
      </c>
      <c r="M162" s="26">
        <v>60</v>
      </c>
      <c r="N162" s="37">
        <f t="shared" si="16"/>
        <v>580.16666666666663</v>
      </c>
      <c r="O162" s="38">
        <f t="shared" ca="1" si="17"/>
        <v>91</v>
      </c>
      <c r="P162" s="36">
        <f t="shared" ca="1" si="14"/>
        <v>-17985.166666666664</v>
      </c>
      <c r="Q162" s="36">
        <f t="shared" ca="1" si="13"/>
        <v>1</v>
      </c>
      <c r="R162" s="49" t="s">
        <v>3213</v>
      </c>
    </row>
    <row r="163" spans="1:18" s="5" customFormat="1" ht="47.25" customHeight="1" x14ac:dyDescent="0.25">
      <c r="B163" s="27">
        <v>43132</v>
      </c>
      <c r="C163" s="24" t="s">
        <v>2349</v>
      </c>
      <c r="D163" s="26" t="s">
        <v>3218</v>
      </c>
      <c r="E163" s="26" t="s">
        <v>3219</v>
      </c>
      <c r="F163" s="26" t="s">
        <v>3220</v>
      </c>
      <c r="G163" s="29" t="s">
        <v>3221</v>
      </c>
      <c r="H163" s="26" t="s">
        <v>1155</v>
      </c>
      <c r="I163" s="26" t="s">
        <v>19</v>
      </c>
      <c r="J163" s="45">
        <v>118981.75999999999</v>
      </c>
      <c r="K163" s="45">
        <v>48.506300000000003</v>
      </c>
      <c r="L163" s="46">
        <f t="shared" si="15"/>
        <v>2452.913539066059</v>
      </c>
      <c r="M163" s="26">
        <v>60</v>
      </c>
      <c r="N163" s="37">
        <f t="shared" si="16"/>
        <v>1983.0293333333332</v>
      </c>
      <c r="O163" s="38">
        <f t="shared" ca="1" si="17"/>
        <v>91</v>
      </c>
      <c r="P163" s="36">
        <f t="shared" ca="1" si="14"/>
        <v>-61473.909333333329</v>
      </c>
      <c r="Q163" s="36">
        <f t="shared" ca="1" si="13"/>
        <v>1</v>
      </c>
      <c r="R163" s="49" t="s">
        <v>2702</v>
      </c>
    </row>
    <row r="164" spans="1:18" s="5" customFormat="1" ht="33.75" customHeight="1" x14ac:dyDescent="0.25">
      <c r="B164" s="27">
        <v>43132</v>
      </c>
      <c r="C164" s="24" t="s">
        <v>2349</v>
      </c>
      <c r="D164" s="26" t="s">
        <v>3218</v>
      </c>
      <c r="E164" s="26" t="s">
        <v>3222</v>
      </c>
      <c r="F164" s="26" t="s">
        <v>3223</v>
      </c>
      <c r="G164" s="29" t="s">
        <v>3224</v>
      </c>
      <c r="H164" s="26" t="s">
        <v>3225</v>
      </c>
      <c r="I164" s="26" t="s">
        <v>19</v>
      </c>
      <c r="J164" s="45">
        <f>70000+12600</f>
        <v>82600</v>
      </c>
      <c r="K164" s="45">
        <v>48.506300000000003</v>
      </c>
      <c r="L164" s="46">
        <f t="shared" si="15"/>
        <v>1702.8715857527784</v>
      </c>
      <c r="M164" s="26">
        <v>60</v>
      </c>
      <c r="N164" s="37">
        <f t="shared" si="16"/>
        <v>1376.6666666666667</v>
      </c>
      <c r="O164" s="38">
        <f t="shared" ca="1" si="17"/>
        <v>91</v>
      </c>
      <c r="P164" s="36">
        <f t="shared" ca="1" si="14"/>
        <v>-42676.666666666672</v>
      </c>
      <c r="Q164" s="36">
        <f t="shared" ca="1" si="13"/>
        <v>1</v>
      </c>
      <c r="R164" s="49" t="s">
        <v>2702</v>
      </c>
    </row>
    <row r="165" spans="1:18" s="5" customFormat="1" ht="25.5" x14ac:dyDescent="0.25">
      <c r="B165" s="27">
        <v>43132</v>
      </c>
      <c r="C165" s="24" t="s">
        <v>2349</v>
      </c>
      <c r="D165" s="26" t="s">
        <v>3218</v>
      </c>
      <c r="E165" s="26" t="s">
        <v>3226</v>
      </c>
      <c r="F165" s="26" t="s">
        <v>3223</v>
      </c>
      <c r="G165" s="29" t="s">
        <v>3227</v>
      </c>
      <c r="H165" s="26" t="s">
        <v>3228</v>
      </c>
      <c r="I165" s="26" t="s">
        <v>19</v>
      </c>
      <c r="J165" s="45">
        <f>70000+12600</f>
        <v>82600</v>
      </c>
      <c r="K165" s="45">
        <v>48.506300000000003</v>
      </c>
      <c r="L165" s="46">
        <f t="shared" si="15"/>
        <v>1702.8715857527784</v>
      </c>
      <c r="M165" s="26">
        <v>60</v>
      </c>
      <c r="N165" s="37">
        <f t="shared" si="16"/>
        <v>1376.6666666666667</v>
      </c>
      <c r="O165" s="38">
        <f t="shared" ca="1" si="17"/>
        <v>91</v>
      </c>
      <c r="P165" s="36">
        <f t="shared" ca="1" si="14"/>
        <v>-42676.666666666672</v>
      </c>
      <c r="Q165" s="36">
        <f t="shared" ca="1" si="13"/>
        <v>1</v>
      </c>
      <c r="R165" s="49" t="s">
        <v>2702</v>
      </c>
    </row>
    <row r="166" spans="1:18" s="5" customFormat="1" ht="33.75" customHeight="1" x14ac:dyDescent="0.25">
      <c r="B166" s="27">
        <v>43132</v>
      </c>
      <c r="C166" s="24" t="s">
        <v>2349</v>
      </c>
      <c r="D166" s="26" t="s">
        <v>3218</v>
      </c>
      <c r="E166" s="26" t="s">
        <v>3229</v>
      </c>
      <c r="F166" s="26" t="s">
        <v>2930</v>
      </c>
      <c r="G166" s="29" t="s">
        <v>3230</v>
      </c>
      <c r="H166" s="26" t="s">
        <v>5519</v>
      </c>
      <c r="I166" s="26" t="s">
        <v>19</v>
      </c>
      <c r="J166" s="45">
        <f>23680+4262.4</f>
        <v>27942.400000000001</v>
      </c>
      <c r="K166" s="45">
        <v>48.506300000000003</v>
      </c>
      <c r="L166" s="46">
        <f t="shared" si="15"/>
        <v>576.05713072322567</v>
      </c>
      <c r="M166" s="26">
        <v>60</v>
      </c>
      <c r="N166" s="37">
        <f t="shared" si="16"/>
        <v>465.70666666666671</v>
      </c>
      <c r="O166" s="38">
        <f t="shared" ca="1" si="17"/>
        <v>91</v>
      </c>
      <c r="P166" s="36">
        <f t="shared" ca="1" si="14"/>
        <v>-14436.906666666669</v>
      </c>
      <c r="Q166" s="36">
        <f t="shared" ca="1" si="13"/>
        <v>1</v>
      </c>
      <c r="R166" s="49" t="s">
        <v>2702</v>
      </c>
    </row>
    <row r="167" spans="1:18" s="5" customFormat="1" ht="27" customHeight="1" x14ac:dyDescent="0.25">
      <c r="B167" s="27">
        <v>43132</v>
      </c>
      <c r="C167" s="24" t="s">
        <v>2349</v>
      </c>
      <c r="D167" s="26" t="s">
        <v>3218</v>
      </c>
      <c r="E167" s="26" t="s">
        <v>3231</v>
      </c>
      <c r="F167" s="26" t="s">
        <v>2930</v>
      </c>
      <c r="G167" s="29" t="s">
        <v>3232</v>
      </c>
      <c r="H167" s="26" t="s">
        <v>3233</v>
      </c>
      <c r="I167" s="26" t="s">
        <v>19</v>
      </c>
      <c r="J167" s="45">
        <f>23680+4262.4</f>
        <v>27942.400000000001</v>
      </c>
      <c r="K167" s="45">
        <v>48.506300000000003</v>
      </c>
      <c r="L167" s="46">
        <f t="shared" si="15"/>
        <v>576.05713072322567</v>
      </c>
      <c r="M167" s="26">
        <v>60</v>
      </c>
      <c r="N167" s="37">
        <f t="shared" si="16"/>
        <v>465.70666666666671</v>
      </c>
      <c r="O167" s="38">
        <f t="shared" ca="1" si="17"/>
        <v>91</v>
      </c>
      <c r="P167" s="36">
        <f t="shared" ca="1" si="14"/>
        <v>-14436.906666666669</v>
      </c>
      <c r="Q167" s="36">
        <f t="shared" ca="1" si="13"/>
        <v>1</v>
      </c>
      <c r="R167" s="49" t="s">
        <v>2702</v>
      </c>
    </row>
    <row r="168" spans="1:18" s="5" customFormat="1" ht="41.25" customHeight="1" x14ac:dyDescent="0.25">
      <c r="B168" s="27">
        <v>43132</v>
      </c>
      <c r="C168" s="24" t="s">
        <v>2349</v>
      </c>
      <c r="D168" s="26" t="s">
        <v>3218</v>
      </c>
      <c r="E168" s="26" t="s">
        <v>3234</v>
      </c>
      <c r="F168" s="26" t="s">
        <v>2930</v>
      </c>
      <c r="G168" s="29" t="s">
        <v>3235</v>
      </c>
      <c r="H168" s="25" t="s">
        <v>3236</v>
      </c>
      <c r="I168" s="26" t="s">
        <v>19</v>
      </c>
      <c r="J168" s="45">
        <f>23680+4262.4</f>
        <v>27942.400000000001</v>
      </c>
      <c r="K168" s="45">
        <v>48.506300000000003</v>
      </c>
      <c r="L168" s="46">
        <f t="shared" si="15"/>
        <v>576.05713072322567</v>
      </c>
      <c r="M168" s="26">
        <v>60</v>
      </c>
      <c r="N168" s="37">
        <f t="shared" si="16"/>
        <v>465.70666666666671</v>
      </c>
      <c r="O168" s="38">
        <f t="shared" ca="1" si="17"/>
        <v>91</v>
      </c>
      <c r="P168" s="36">
        <f t="shared" ca="1" si="14"/>
        <v>-14436.906666666669</v>
      </c>
      <c r="Q168" s="36">
        <f t="shared" ca="1" si="13"/>
        <v>1</v>
      </c>
      <c r="R168" s="49" t="s">
        <v>2702</v>
      </c>
    </row>
    <row r="169" spans="1:18" s="5" customFormat="1" ht="39" customHeight="1" x14ac:dyDescent="0.25">
      <c r="A169" s="44"/>
      <c r="B169" s="28">
        <v>43160</v>
      </c>
      <c r="C169" s="58" t="s">
        <v>2349</v>
      </c>
      <c r="D169" s="29" t="s">
        <v>3237</v>
      </c>
      <c r="E169" s="29" t="s">
        <v>3238</v>
      </c>
      <c r="F169" s="29" t="s">
        <v>6576</v>
      </c>
      <c r="G169" s="29" t="s">
        <v>3239</v>
      </c>
      <c r="H169" s="29" t="s">
        <v>2878</v>
      </c>
      <c r="I169" s="29" t="s">
        <v>19</v>
      </c>
      <c r="J169" s="47">
        <v>2916100</v>
      </c>
      <c r="K169" s="47">
        <v>48.966000000000001</v>
      </c>
      <c r="L169" s="48">
        <f t="shared" si="15"/>
        <v>59553.567781726095</v>
      </c>
      <c r="M169" s="29">
        <v>60</v>
      </c>
      <c r="N169" s="41">
        <f t="shared" si="16"/>
        <v>48601.666666666664</v>
      </c>
      <c r="O169" s="42">
        <f t="shared" ca="1" si="17"/>
        <v>90</v>
      </c>
      <c r="P169" s="36">
        <f t="shared" ca="1" si="14"/>
        <v>-1458050</v>
      </c>
      <c r="Q169" s="43">
        <f t="shared" ca="1" si="13"/>
        <v>1</v>
      </c>
      <c r="R169" s="533" t="s">
        <v>3240</v>
      </c>
    </row>
    <row r="170" spans="1:18" s="5" customFormat="1" ht="72" customHeight="1" x14ac:dyDescent="0.25">
      <c r="B170" s="27">
        <v>43208</v>
      </c>
      <c r="C170" s="24" t="s">
        <v>2349</v>
      </c>
      <c r="D170" s="26" t="s">
        <v>3241</v>
      </c>
      <c r="E170" s="26" t="s">
        <v>3242</v>
      </c>
      <c r="F170" s="26" t="s">
        <v>3243</v>
      </c>
      <c r="G170" s="29" t="s">
        <v>28</v>
      </c>
      <c r="H170" s="26" t="s">
        <v>23</v>
      </c>
      <c r="I170" s="26" t="s">
        <v>3244</v>
      </c>
      <c r="J170" s="45">
        <v>22531.552600000003</v>
      </c>
      <c r="K170" s="45">
        <v>49.318399999999997</v>
      </c>
      <c r="L170" s="46">
        <f t="shared" si="15"/>
        <v>456.8589532507138</v>
      </c>
      <c r="M170" s="26">
        <v>60</v>
      </c>
      <c r="N170" s="37">
        <f t="shared" si="16"/>
        <v>375.5258766666667</v>
      </c>
      <c r="O170" s="38">
        <f t="shared" ca="1" si="17"/>
        <v>88</v>
      </c>
      <c r="P170" s="36">
        <f t="shared" ca="1" si="14"/>
        <v>-10514.724546666665</v>
      </c>
      <c r="Q170" s="36">
        <f t="shared" ca="1" si="13"/>
        <v>1</v>
      </c>
      <c r="R170" s="49" t="s">
        <v>3245</v>
      </c>
    </row>
    <row r="171" spans="1:18" s="5" customFormat="1" ht="63" customHeight="1" x14ac:dyDescent="0.25">
      <c r="B171" s="27">
        <v>43208</v>
      </c>
      <c r="C171" s="24" t="s">
        <v>2349</v>
      </c>
      <c r="D171" s="26" t="s">
        <v>3241</v>
      </c>
      <c r="E171" s="26" t="s">
        <v>3246</v>
      </c>
      <c r="F171" s="26" t="s">
        <v>3243</v>
      </c>
      <c r="G171" s="29" t="s">
        <v>28</v>
      </c>
      <c r="H171" s="26" t="s">
        <v>23</v>
      </c>
      <c r="I171" s="26" t="s">
        <v>3244</v>
      </c>
      <c r="J171" s="45">
        <f t="shared" ref="J171:J204" si="19">(19484.22-389.6844)+3437.017</f>
        <v>22531.552600000003</v>
      </c>
      <c r="K171" s="45">
        <v>49.318399999999997</v>
      </c>
      <c r="L171" s="46">
        <f t="shared" ref="L171:L206" si="20">+J171/K171</f>
        <v>456.8589532507138</v>
      </c>
      <c r="M171" s="26">
        <v>60</v>
      </c>
      <c r="N171" s="37">
        <f t="shared" ref="N171:N206" si="21">IF(AND(J171&lt;&gt;0,M171&lt;&gt;0),J171/M171,0)</f>
        <v>375.5258766666667</v>
      </c>
      <c r="O171" s="38">
        <f t="shared" ca="1" si="17"/>
        <v>88</v>
      </c>
      <c r="P171" s="36">
        <f t="shared" ca="1" si="14"/>
        <v>-10514.724546666665</v>
      </c>
      <c r="Q171" s="36">
        <f t="shared" ca="1" si="13"/>
        <v>1</v>
      </c>
      <c r="R171" s="49" t="s">
        <v>3245</v>
      </c>
    </row>
    <row r="172" spans="1:18" s="5" customFormat="1" ht="59.25" customHeight="1" x14ac:dyDescent="0.25">
      <c r="B172" s="27">
        <v>43208</v>
      </c>
      <c r="C172" s="24" t="s">
        <v>2349</v>
      </c>
      <c r="D172" s="26" t="s">
        <v>3241</v>
      </c>
      <c r="E172" s="26" t="s">
        <v>3247</v>
      </c>
      <c r="F172" s="26" t="s">
        <v>3243</v>
      </c>
      <c r="G172" s="29" t="s">
        <v>28</v>
      </c>
      <c r="H172" s="26" t="s">
        <v>23</v>
      </c>
      <c r="I172" s="26" t="s">
        <v>3244</v>
      </c>
      <c r="J172" s="45">
        <f t="shared" si="19"/>
        <v>22531.552600000003</v>
      </c>
      <c r="K172" s="45">
        <v>49.318399999999997</v>
      </c>
      <c r="L172" s="46">
        <f t="shared" si="20"/>
        <v>456.8589532507138</v>
      </c>
      <c r="M172" s="26">
        <v>60</v>
      </c>
      <c r="N172" s="37">
        <f t="shared" si="21"/>
        <v>375.5258766666667</v>
      </c>
      <c r="O172" s="38">
        <f t="shared" ca="1" si="17"/>
        <v>88</v>
      </c>
      <c r="P172" s="36">
        <f t="shared" ca="1" si="14"/>
        <v>-10514.724546666665</v>
      </c>
      <c r="Q172" s="36">
        <f t="shared" ca="1" si="13"/>
        <v>1</v>
      </c>
      <c r="R172" s="49" t="s">
        <v>3245</v>
      </c>
    </row>
    <row r="173" spans="1:18" s="5" customFormat="1" ht="66.75" customHeight="1" x14ac:dyDescent="0.25">
      <c r="B173" s="27">
        <v>43208</v>
      </c>
      <c r="C173" s="24" t="s">
        <v>2349</v>
      </c>
      <c r="D173" s="26" t="s">
        <v>3241</v>
      </c>
      <c r="E173" s="26" t="s">
        <v>3248</v>
      </c>
      <c r="F173" s="26" t="s">
        <v>3243</v>
      </c>
      <c r="G173" s="29" t="s">
        <v>28</v>
      </c>
      <c r="H173" s="26" t="s">
        <v>23</v>
      </c>
      <c r="I173" s="26" t="s">
        <v>3244</v>
      </c>
      <c r="J173" s="45">
        <f t="shared" si="19"/>
        <v>22531.552600000003</v>
      </c>
      <c r="K173" s="45">
        <v>49.318399999999997</v>
      </c>
      <c r="L173" s="46">
        <f t="shared" si="20"/>
        <v>456.8589532507138</v>
      </c>
      <c r="M173" s="26">
        <v>60</v>
      </c>
      <c r="N173" s="37">
        <f t="shared" si="21"/>
        <v>375.5258766666667</v>
      </c>
      <c r="O173" s="38">
        <f t="shared" ca="1" si="17"/>
        <v>88</v>
      </c>
      <c r="P173" s="36">
        <f t="shared" ca="1" si="14"/>
        <v>-10514.724546666665</v>
      </c>
      <c r="Q173" s="36">
        <f t="shared" ca="1" si="13"/>
        <v>1</v>
      </c>
      <c r="R173" s="49" t="s">
        <v>3245</v>
      </c>
    </row>
    <row r="174" spans="1:18" s="5" customFormat="1" ht="63" customHeight="1" x14ac:dyDescent="0.25">
      <c r="B174" s="27">
        <v>43208</v>
      </c>
      <c r="C174" s="24" t="s">
        <v>2349</v>
      </c>
      <c r="D174" s="26" t="s">
        <v>3241</v>
      </c>
      <c r="E174" s="26" t="s">
        <v>3249</v>
      </c>
      <c r="F174" s="26" t="s">
        <v>3243</v>
      </c>
      <c r="G174" s="29" t="s">
        <v>28</v>
      </c>
      <c r="H174" s="26" t="s">
        <v>23</v>
      </c>
      <c r="I174" s="26" t="s">
        <v>3244</v>
      </c>
      <c r="J174" s="45">
        <f t="shared" si="19"/>
        <v>22531.552600000003</v>
      </c>
      <c r="K174" s="45">
        <v>49.318399999999997</v>
      </c>
      <c r="L174" s="46">
        <f t="shared" si="20"/>
        <v>456.8589532507138</v>
      </c>
      <c r="M174" s="26">
        <v>60</v>
      </c>
      <c r="N174" s="37">
        <f t="shared" si="21"/>
        <v>375.5258766666667</v>
      </c>
      <c r="O174" s="38">
        <f t="shared" ca="1" si="17"/>
        <v>88</v>
      </c>
      <c r="P174" s="36">
        <f t="shared" ca="1" si="14"/>
        <v>-10514.724546666665</v>
      </c>
      <c r="Q174" s="36">
        <f t="shared" ca="1" si="13"/>
        <v>1</v>
      </c>
      <c r="R174" s="49" t="s">
        <v>3245</v>
      </c>
    </row>
    <row r="175" spans="1:18" s="5" customFormat="1" ht="70.5" customHeight="1" x14ac:dyDescent="0.25">
      <c r="B175" s="27">
        <v>43208</v>
      </c>
      <c r="C175" s="24" t="s">
        <v>2349</v>
      </c>
      <c r="D175" s="26" t="s">
        <v>3241</v>
      </c>
      <c r="E175" s="26" t="s">
        <v>3250</v>
      </c>
      <c r="F175" s="26" t="s">
        <v>3243</v>
      </c>
      <c r="G175" s="29" t="s">
        <v>28</v>
      </c>
      <c r="H175" s="26" t="s">
        <v>23</v>
      </c>
      <c r="I175" s="26" t="s">
        <v>3244</v>
      </c>
      <c r="J175" s="45">
        <f t="shared" si="19"/>
        <v>22531.552600000003</v>
      </c>
      <c r="K175" s="45">
        <v>49.318399999999997</v>
      </c>
      <c r="L175" s="46">
        <f t="shared" si="20"/>
        <v>456.8589532507138</v>
      </c>
      <c r="M175" s="26">
        <v>60</v>
      </c>
      <c r="N175" s="37">
        <f t="shared" si="21"/>
        <v>375.5258766666667</v>
      </c>
      <c r="O175" s="38">
        <f t="shared" ca="1" si="17"/>
        <v>88</v>
      </c>
      <c r="P175" s="36">
        <f t="shared" ca="1" si="14"/>
        <v>-10514.724546666665</v>
      </c>
      <c r="Q175" s="36">
        <f t="shared" ca="1" si="13"/>
        <v>1</v>
      </c>
      <c r="R175" s="49" t="s">
        <v>3245</v>
      </c>
    </row>
    <row r="176" spans="1:18" s="5" customFormat="1" ht="57.75" customHeight="1" x14ac:dyDescent="0.25">
      <c r="B176" s="27">
        <v>43208</v>
      </c>
      <c r="C176" s="24" t="s">
        <v>2349</v>
      </c>
      <c r="D176" s="26" t="s">
        <v>3241</v>
      </c>
      <c r="E176" s="26" t="s">
        <v>3251</v>
      </c>
      <c r="F176" s="26" t="s">
        <v>3243</v>
      </c>
      <c r="G176" s="29" t="s">
        <v>28</v>
      </c>
      <c r="H176" s="26" t="s">
        <v>23</v>
      </c>
      <c r="I176" s="26" t="s">
        <v>3244</v>
      </c>
      <c r="J176" s="45">
        <f t="shared" si="19"/>
        <v>22531.552600000003</v>
      </c>
      <c r="K176" s="45">
        <v>49.318399999999997</v>
      </c>
      <c r="L176" s="46">
        <f t="shared" si="20"/>
        <v>456.8589532507138</v>
      </c>
      <c r="M176" s="26">
        <v>60</v>
      </c>
      <c r="N176" s="37">
        <f t="shared" si="21"/>
        <v>375.5258766666667</v>
      </c>
      <c r="O176" s="38">
        <f t="shared" ca="1" si="17"/>
        <v>88</v>
      </c>
      <c r="P176" s="36">
        <f t="shared" ca="1" si="14"/>
        <v>-10514.724546666665</v>
      </c>
      <c r="Q176" s="36">
        <f t="shared" ca="1" si="13"/>
        <v>1</v>
      </c>
      <c r="R176" s="49" t="s">
        <v>3245</v>
      </c>
    </row>
    <row r="177" spans="2:18" s="5" customFormat="1" ht="65.25" customHeight="1" x14ac:dyDescent="0.25">
      <c r="B177" s="27">
        <v>43208</v>
      </c>
      <c r="C177" s="24" t="s">
        <v>2349</v>
      </c>
      <c r="D177" s="26" t="s">
        <v>3241</v>
      </c>
      <c r="E177" s="26" t="s">
        <v>3252</v>
      </c>
      <c r="F177" s="26" t="s">
        <v>3243</v>
      </c>
      <c r="G177" s="29" t="s">
        <v>28</v>
      </c>
      <c r="H177" s="26" t="s">
        <v>23</v>
      </c>
      <c r="I177" s="26" t="s">
        <v>3244</v>
      </c>
      <c r="J177" s="45">
        <f t="shared" si="19"/>
        <v>22531.552600000003</v>
      </c>
      <c r="K177" s="45">
        <v>49.318399999999997</v>
      </c>
      <c r="L177" s="46">
        <f t="shared" si="20"/>
        <v>456.8589532507138</v>
      </c>
      <c r="M177" s="26">
        <v>60</v>
      </c>
      <c r="N177" s="37">
        <f t="shared" si="21"/>
        <v>375.5258766666667</v>
      </c>
      <c r="O177" s="38">
        <f t="shared" ca="1" si="17"/>
        <v>88</v>
      </c>
      <c r="P177" s="36">
        <f t="shared" ca="1" si="14"/>
        <v>-10514.724546666665</v>
      </c>
      <c r="Q177" s="36">
        <f t="shared" ca="1" si="13"/>
        <v>1</v>
      </c>
      <c r="R177" s="49" t="s">
        <v>3245</v>
      </c>
    </row>
    <row r="178" spans="2:18" s="5" customFormat="1" ht="66.75" customHeight="1" x14ac:dyDescent="0.25">
      <c r="B178" s="27">
        <v>43208</v>
      </c>
      <c r="C178" s="24" t="s">
        <v>2349</v>
      </c>
      <c r="D178" s="26" t="s">
        <v>3241</v>
      </c>
      <c r="E178" s="26" t="s">
        <v>3253</v>
      </c>
      <c r="F178" s="26" t="s">
        <v>3243</v>
      </c>
      <c r="G178" s="29" t="s">
        <v>28</v>
      </c>
      <c r="H178" s="26" t="s">
        <v>23</v>
      </c>
      <c r="I178" s="26" t="s">
        <v>3244</v>
      </c>
      <c r="J178" s="45">
        <f t="shared" si="19"/>
        <v>22531.552600000003</v>
      </c>
      <c r="K178" s="45">
        <v>49.318399999999997</v>
      </c>
      <c r="L178" s="46">
        <f t="shared" si="20"/>
        <v>456.8589532507138</v>
      </c>
      <c r="M178" s="26">
        <v>60</v>
      </c>
      <c r="N178" s="37">
        <f t="shared" si="21"/>
        <v>375.5258766666667</v>
      </c>
      <c r="O178" s="38">
        <f t="shared" ca="1" si="17"/>
        <v>88</v>
      </c>
      <c r="P178" s="36">
        <f t="shared" ca="1" si="14"/>
        <v>-10514.724546666665</v>
      </c>
      <c r="Q178" s="36">
        <f t="shared" ca="1" si="13"/>
        <v>1</v>
      </c>
      <c r="R178" s="49" t="s">
        <v>3245</v>
      </c>
    </row>
    <row r="179" spans="2:18" s="5" customFormat="1" ht="67.5" customHeight="1" x14ac:dyDescent="0.25">
      <c r="B179" s="27">
        <v>43208</v>
      </c>
      <c r="C179" s="24" t="s">
        <v>2349</v>
      </c>
      <c r="D179" s="26" t="s">
        <v>3241</v>
      </c>
      <c r="E179" s="26" t="s">
        <v>3254</v>
      </c>
      <c r="F179" s="26" t="s">
        <v>3243</v>
      </c>
      <c r="G179" s="29" t="s">
        <v>28</v>
      </c>
      <c r="H179" s="26" t="s">
        <v>23</v>
      </c>
      <c r="I179" s="26" t="s">
        <v>3244</v>
      </c>
      <c r="J179" s="45">
        <f t="shared" si="19"/>
        <v>22531.552600000003</v>
      </c>
      <c r="K179" s="45">
        <v>49.318399999999997</v>
      </c>
      <c r="L179" s="46">
        <f t="shared" si="20"/>
        <v>456.8589532507138</v>
      </c>
      <c r="M179" s="26">
        <v>60</v>
      </c>
      <c r="N179" s="37">
        <f t="shared" si="21"/>
        <v>375.5258766666667</v>
      </c>
      <c r="O179" s="38">
        <f t="shared" ca="1" si="17"/>
        <v>88</v>
      </c>
      <c r="P179" s="36">
        <f t="shared" ca="1" si="14"/>
        <v>-10514.724546666665</v>
      </c>
      <c r="Q179" s="36">
        <f t="shared" ca="1" si="13"/>
        <v>1</v>
      </c>
      <c r="R179" s="49" t="s">
        <v>3245</v>
      </c>
    </row>
    <row r="180" spans="2:18" s="5" customFormat="1" ht="66.75" customHeight="1" x14ac:dyDescent="0.25">
      <c r="B180" s="27">
        <v>43208</v>
      </c>
      <c r="C180" s="24" t="s">
        <v>2349</v>
      </c>
      <c r="D180" s="26" t="s">
        <v>3241</v>
      </c>
      <c r="E180" s="26" t="s">
        <v>3255</v>
      </c>
      <c r="F180" s="26" t="s">
        <v>3243</v>
      </c>
      <c r="G180" s="29" t="s">
        <v>28</v>
      </c>
      <c r="H180" s="26" t="s">
        <v>23</v>
      </c>
      <c r="I180" s="26" t="s">
        <v>3244</v>
      </c>
      <c r="J180" s="45">
        <f t="shared" si="19"/>
        <v>22531.552600000003</v>
      </c>
      <c r="K180" s="45">
        <v>49.318399999999997</v>
      </c>
      <c r="L180" s="46">
        <f t="shared" si="20"/>
        <v>456.8589532507138</v>
      </c>
      <c r="M180" s="26">
        <v>60</v>
      </c>
      <c r="N180" s="37">
        <f t="shared" si="21"/>
        <v>375.5258766666667</v>
      </c>
      <c r="O180" s="38">
        <f t="shared" ca="1" si="17"/>
        <v>88</v>
      </c>
      <c r="P180" s="36">
        <f t="shared" ca="1" si="14"/>
        <v>-10514.724546666665</v>
      </c>
      <c r="Q180" s="36">
        <f t="shared" ca="1" si="13"/>
        <v>1</v>
      </c>
      <c r="R180" s="49" t="s">
        <v>3245</v>
      </c>
    </row>
    <row r="181" spans="2:18" s="5" customFormat="1" ht="66.75" customHeight="1" x14ac:dyDescent="0.25">
      <c r="B181" s="27">
        <v>43208</v>
      </c>
      <c r="C181" s="24" t="s">
        <v>2349</v>
      </c>
      <c r="D181" s="26" t="s">
        <v>3241</v>
      </c>
      <c r="E181" s="26" t="s">
        <v>3256</v>
      </c>
      <c r="F181" s="26" t="s">
        <v>3243</v>
      </c>
      <c r="G181" s="29" t="s">
        <v>28</v>
      </c>
      <c r="H181" s="26" t="s">
        <v>23</v>
      </c>
      <c r="I181" s="26" t="s">
        <v>3244</v>
      </c>
      <c r="J181" s="45">
        <f t="shared" si="19"/>
        <v>22531.552600000003</v>
      </c>
      <c r="K181" s="45">
        <v>49.318399999999997</v>
      </c>
      <c r="L181" s="46">
        <f t="shared" si="20"/>
        <v>456.8589532507138</v>
      </c>
      <c r="M181" s="26">
        <v>60</v>
      </c>
      <c r="N181" s="37">
        <f t="shared" si="21"/>
        <v>375.5258766666667</v>
      </c>
      <c r="O181" s="38">
        <f t="shared" ca="1" si="17"/>
        <v>88</v>
      </c>
      <c r="P181" s="36">
        <f t="shared" ca="1" si="14"/>
        <v>-10514.724546666665</v>
      </c>
      <c r="Q181" s="36">
        <f t="shared" ca="1" si="13"/>
        <v>1</v>
      </c>
      <c r="R181" s="49" t="s">
        <v>3245</v>
      </c>
    </row>
    <row r="182" spans="2:18" s="5" customFormat="1" ht="62.25" customHeight="1" x14ac:dyDescent="0.25">
      <c r="B182" s="27">
        <v>43208</v>
      </c>
      <c r="C182" s="24" t="s">
        <v>2349</v>
      </c>
      <c r="D182" s="26" t="s">
        <v>3241</v>
      </c>
      <c r="E182" s="26" t="s">
        <v>3257</v>
      </c>
      <c r="F182" s="26" t="s">
        <v>3243</v>
      </c>
      <c r="G182" s="29" t="s">
        <v>28</v>
      </c>
      <c r="H182" s="26" t="s">
        <v>23</v>
      </c>
      <c r="I182" s="26" t="s">
        <v>3244</v>
      </c>
      <c r="J182" s="45">
        <f t="shared" si="19"/>
        <v>22531.552600000003</v>
      </c>
      <c r="K182" s="45">
        <v>49.318399999999997</v>
      </c>
      <c r="L182" s="46">
        <f t="shared" si="20"/>
        <v>456.8589532507138</v>
      </c>
      <c r="M182" s="26">
        <v>60</v>
      </c>
      <c r="N182" s="37">
        <f t="shared" si="21"/>
        <v>375.5258766666667</v>
      </c>
      <c r="O182" s="38">
        <f t="shared" ca="1" si="17"/>
        <v>88</v>
      </c>
      <c r="P182" s="36">
        <f t="shared" ca="1" si="14"/>
        <v>-10514.724546666665</v>
      </c>
      <c r="Q182" s="36">
        <f t="shared" ca="1" si="13"/>
        <v>1</v>
      </c>
      <c r="R182" s="49" t="s">
        <v>3245</v>
      </c>
    </row>
    <row r="183" spans="2:18" s="5" customFormat="1" ht="66.75" customHeight="1" x14ac:dyDescent="0.25">
      <c r="B183" s="27">
        <v>43208</v>
      </c>
      <c r="C183" s="24" t="s">
        <v>2349</v>
      </c>
      <c r="D183" s="26" t="s">
        <v>3241</v>
      </c>
      <c r="E183" s="26" t="s">
        <v>3258</v>
      </c>
      <c r="F183" s="26" t="s">
        <v>3243</v>
      </c>
      <c r="G183" s="29" t="s">
        <v>28</v>
      </c>
      <c r="H183" s="26" t="s">
        <v>23</v>
      </c>
      <c r="I183" s="26" t="s">
        <v>3244</v>
      </c>
      <c r="J183" s="45">
        <f t="shared" si="19"/>
        <v>22531.552600000003</v>
      </c>
      <c r="K183" s="45">
        <v>49.318399999999997</v>
      </c>
      <c r="L183" s="46">
        <f t="shared" si="20"/>
        <v>456.8589532507138</v>
      </c>
      <c r="M183" s="26">
        <v>60</v>
      </c>
      <c r="N183" s="37">
        <f t="shared" si="21"/>
        <v>375.5258766666667</v>
      </c>
      <c r="O183" s="38">
        <f t="shared" ca="1" si="17"/>
        <v>88</v>
      </c>
      <c r="P183" s="36">
        <f t="shared" ca="1" si="14"/>
        <v>-10514.724546666665</v>
      </c>
      <c r="Q183" s="36">
        <f t="shared" ca="1" si="13"/>
        <v>1</v>
      </c>
      <c r="R183" s="49" t="s">
        <v>3245</v>
      </c>
    </row>
    <row r="184" spans="2:18" s="5" customFormat="1" ht="73.5" customHeight="1" x14ac:dyDescent="0.25">
      <c r="B184" s="27">
        <v>43208</v>
      </c>
      <c r="C184" s="24" t="s">
        <v>2349</v>
      </c>
      <c r="D184" s="26" t="s">
        <v>3241</v>
      </c>
      <c r="E184" s="26" t="s">
        <v>3259</v>
      </c>
      <c r="F184" s="26" t="s">
        <v>3243</v>
      </c>
      <c r="G184" s="29" t="s">
        <v>28</v>
      </c>
      <c r="H184" s="26" t="s">
        <v>23</v>
      </c>
      <c r="I184" s="26" t="s">
        <v>3244</v>
      </c>
      <c r="J184" s="45">
        <f t="shared" si="19"/>
        <v>22531.552600000003</v>
      </c>
      <c r="K184" s="45">
        <v>49.318399999999997</v>
      </c>
      <c r="L184" s="46">
        <f t="shared" si="20"/>
        <v>456.8589532507138</v>
      </c>
      <c r="M184" s="26">
        <v>60</v>
      </c>
      <c r="N184" s="37">
        <f t="shared" si="21"/>
        <v>375.5258766666667</v>
      </c>
      <c r="O184" s="38">
        <f t="shared" ca="1" si="17"/>
        <v>88</v>
      </c>
      <c r="P184" s="36">
        <f t="shared" ca="1" si="14"/>
        <v>-10514.724546666665</v>
      </c>
      <c r="Q184" s="36">
        <f t="shared" ca="1" si="13"/>
        <v>1</v>
      </c>
      <c r="R184" s="49" t="s">
        <v>3245</v>
      </c>
    </row>
    <row r="185" spans="2:18" s="5" customFormat="1" ht="77.25" customHeight="1" x14ac:dyDescent="0.25">
      <c r="B185" s="27">
        <v>43208</v>
      </c>
      <c r="C185" s="24" t="s">
        <v>2349</v>
      </c>
      <c r="D185" s="26" t="s">
        <v>3241</v>
      </c>
      <c r="E185" s="26" t="s">
        <v>3260</v>
      </c>
      <c r="F185" s="26" t="s">
        <v>3243</v>
      </c>
      <c r="G185" s="29" t="s">
        <v>28</v>
      </c>
      <c r="H185" s="26" t="s">
        <v>23</v>
      </c>
      <c r="I185" s="26" t="s">
        <v>3244</v>
      </c>
      <c r="J185" s="45">
        <f t="shared" si="19"/>
        <v>22531.552600000003</v>
      </c>
      <c r="K185" s="45">
        <v>49.318399999999997</v>
      </c>
      <c r="L185" s="46">
        <f t="shared" si="20"/>
        <v>456.8589532507138</v>
      </c>
      <c r="M185" s="26">
        <v>60</v>
      </c>
      <c r="N185" s="37">
        <f t="shared" si="21"/>
        <v>375.5258766666667</v>
      </c>
      <c r="O185" s="38">
        <f t="shared" ca="1" si="17"/>
        <v>88</v>
      </c>
      <c r="P185" s="36">
        <f t="shared" ca="1" si="14"/>
        <v>-10514.724546666665</v>
      </c>
      <c r="Q185" s="36">
        <f t="shared" ref="Q185:Q235" ca="1" si="22">IF(P185&lt;1,1,P185)</f>
        <v>1</v>
      </c>
      <c r="R185" s="49" t="s">
        <v>3245</v>
      </c>
    </row>
    <row r="186" spans="2:18" s="5" customFormat="1" ht="70.5" customHeight="1" x14ac:dyDescent="0.25">
      <c r="B186" s="27">
        <v>43208</v>
      </c>
      <c r="C186" s="24" t="s">
        <v>2349</v>
      </c>
      <c r="D186" s="26" t="s">
        <v>3241</v>
      </c>
      <c r="E186" s="26" t="s">
        <v>3261</v>
      </c>
      <c r="F186" s="26" t="s">
        <v>3243</v>
      </c>
      <c r="G186" s="29" t="s">
        <v>28</v>
      </c>
      <c r="H186" s="26" t="s">
        <v>23</v>
      </c>
      <c r="I186" s="26" t="s">
        <v>3244</v>
      </c>
      <c r="J186" s="45">
        <f t="shared" si="19"/>
        <v>22531.552600000003</v>
      </c>
      <c r="K186" s="45">
        <v>49.318399999999997</v>
      </c>
      <c r="L186" s="46">
        <f t="shared" si="20"/>
        <v>456.8589532507138</v>
      </c>
      <c r="M186" s="26">
        <v>60</v>
      </c>
      <c r="N186" s="37">
        <f t="shared" si="21"/>
        <v>375.5258766666667</v>
      </c>
      <c r="O186" s="38">
        <f t="shared" ca="1" si="17"/>
        <v>88</v>
      </c>
      <c r="P186" s="36">
        <f t="shared" ca="1" si="14"/>
        <v>-10514.724546666665</v>
      </c>
      <c r="Q186" s="36">
        <f t="shared" ca="1" si="22"/>
        <v>1</v>
      </c>
      <c r="R186" s="49" t="s">
        <v>3245</v>
      </c>
    </row>
    <row r="187" spans="2:18" s="5" customFormat="1" ht="63.75" customHeight="1" x14ac:dyDescent="0.25">
      <c r="B187" s="27">
        <v>43208</v>
      </c>
      <c r="C187" s="24" t="s">
        <v>2349</v>
      </c>
      <c r="D187" s="26" t="s">
        <v>3241</v>
      </c>
      <c r="E187" s="26" t="s">
        <v>3262</v>
      </c>
      <c r="F187" s="26" t="s">
        <v>3243</v>
      </c>
      <c r="G187" s="29" t="s">
        <v>28</v>
      </c>
      <c r="H187" s="26" t="s">
        <v>23</v>
      </c>
      <c r="I187" s="26" t="s">
        <v>3244</v>
      </c>
      <c r="J187" s="45">
        <f t="shared" si="19"/>
        <v>22531.552600000003</v>
      </c>
      <c r="K187" s="45">
        <v>49.318399999999997</v>
      </c>
      <c r="L187" s="46">
        <f t="shared" si="20"/>
        <v>456.8589532507138</v>
      </c>
      <c r="M187" s="26">
        <v>60</v>
      </c>
      <c r="N187" s="37">
        <f t="shared" si="21"/>
        <v>375.5258766666667</v>
      </c>
      <c r="O187" s="38">
        <f t="shared" ca="1" si="17"/>
        <v>88</v>
      </c>
      <c r="P187" s="36">
        <f t="shared" ca="1" si="14"/>
        <v>-10514.724546666665</v>
      </c>
      <c r="Q187" s="36">
        <f t="shared" ca="1" si="22"/>
        <v>1</v>
      </c>
      <c r="R187" s="49" t="s">
        <v>3245</v>
      </c>
    </row>
    <row r="188" spans="2:18" s="5" customFormat="1" ht="72.75" customHeight="1" x14ac:dyDescent="0.25">
      <c r="B188" s="27">
        <v>43208</v>
      </c>
      <c r="C188" s="24" t="s">
        <v>2349</v>
      </c>
      <c r="D188" s="26" t="s">
        <v>3241</v>
      </c>
      <c r="E188" s="26" t="s">
        <v>3263</v>
      </c>
      <c r="F188" s="26" t="s">
        <v>3243</v>
      </c>
      <c r="G188" s="29" t="s">
        <v>28</v>
      </c>
      <c r="H188" s="26" t="s">
        <v>23</v>
      </c>
      <c r="I188" s="26" t="s">
        <v>3244</v>
      </c>
      <c r="J188" s="45">
        <f t="shared" si="19"/>
        <v>22531.552600000003</v>
      </c>
      <c r="K188" s="45">
        <v>49.318399999999997</v>
      </c>
      <c r="L188" s="46">
        <f t="shared" si="20"/>
        <v>456.8589532507138</v>
      </c>
      <c r="M188" s="26">
        <v>60</v>
      </c>
      <c r="N188" s="37">
        <f t="shared" si="21"/>
        <v>375.5258766666667</v>
      </c>
      <c r="O188" s="38">
        <f t="shared" ca="1" si="17"/>
        <v>88</v>
      </c>
      <c r="P188" s="36">
        <f t="shared" ca="1" si="14"/>
        <v>-10514.724546666665</v>
      </c>
      <c r="Q188" s="36">
        <f t="shared" ca="1" si="22"/>
        <v>1</v>
      </c>
      <c r="R188" s="49" t="s">
        <v>3245</v>
      </c>
    </row>
    <row r="189" spans="2:18" s="5" customFormat="1" ht="64.5" customHeight="1" x14ac:dyDescent="0.25">
      <c r="B189" s="27">
        <v>43208</v>
      </c>
      <c r="C189" s="24" t="s">
        <v>2349</v>
      </c>
      <c r="D189" s="26" t="s">
        <v>3241</v>
      </c>
      <c r="E189" s="26" t="s">
        <v>3264</v>
      </c>
      <c r="F189" s="26" t="s">
        <v>3243</v>
      </c>
      <c r="G189" s="29" t="s">
        <v>28</v>
      </c>
      <c r="H189" s="26" t="s">
        <v>23</v>
      </c>
      <c r="I189" s="26" t="s">
        <v>3244</v>
      </c>
      <c r="J189" s="45">
        <f t="shared" si="19"/>
        <v>22531.552600000003</v>
      </c>
      <c r="K189" s="45">
        <v>49.318399999999997</v>
      </c>
      <c r="L189" s="46">
        <f t="shared" si="20"/>
        <v>456.8589532507138</v>
      </c>
      <c r="M189" s="26">
        <v>60</v>
      </c>
      <c r="N189" s="37">
        <f t="shared" si="21"/>
        <v>375.5258766666667</v>
      </c>
      <c r="O189" s="38">
        <f t="shared" ca="1" si="17"/>
        <v>88</v>
      </c>
      <c r="P189" s="36">
        <f t="shared" ca="1" si="14"/>
        <v>-10514.724546666665</v>
      </c>
      <c r="Q189" s="36">
        <f t="shared" ca="1" si="22"/>
        <v>1</v>
      </c>
      <c r="R189" s="49" t="s">
        <v>3245</v>
      </c>
    </row>
    <row r="190" spans="2:18" s="5" customFormat="1" ht="67.5" customHeight="1" x14ac:dyDescent="0.25">
      <c r="B190" s="27">
        <v>43208</v>
      </c>
      <c r="C190" s="24" t="s">
        <v>2349</v>
      </c>
      <c r="D190" s="26" t="s">
        <v>3241</v>
      </c>
      <c r="E190" s="26" t="s">
        <v>3265</v>
      </c>
      <c r="F190" s="26" t="s">
        <v>3243</v>
      </c>
      <c r="G190" s="29" t="s">
        <v>28</v>
      </c>
      <c r="H190" s="26" t="s">
        <v>23</v>
      </c>
      <c r="I190" s="26" t="s">
        <v>3244</v>
      </c>
      <c r="J190" s="45">
        <f t="shared" si="19"/>
        <v>22531.552600000003</v>
      </c>
      <c r="K190" s="45">
        <v>49.318399999999997</v>
      </c>
      <c r="L190" s="46">
        <f t="shared" si="20"/>
        <v>456.8589532507138</v>
      </c>
      <c r="M190" s="26">
        <v>60</v>
      </c>
      <c r="N190" s="37">
        <f t="shared" si="21"/>
        <v>375.5258766666667</v>
      </c>
      <c r="O190" s="38">
        <f t="shared" ca="1" si="17"/>
        <v>88</v>
      </c>
      <c r="P190" s="36">
        <f t="shared" ca="1" si="14"/>
        <v>-10514.724546666665</v>
      </c>
      <c r="Q190" s="36">
        <f t="shared" ca="1" si="22"/>
        <v>1</v>
      </c>
      <c r="R190" s="49" t="s">
        <v>3245</v>
      </c>
    </row>
    <row r="191" spans="2:18" s="5" customFormat="1" ht="69" customHeight="1" x14ac:dyDescent="0.25">
      <c r="B191" s="27">
        <v>43208</v>
      </c>
      <c r="C191" s="24" t="s">
        <v>2349</v>
      </c>
      <c r="D191" s="26" t="s">
        <v>3241</v>
      </c>
      <c r="E191" s="26" t="s">
        <v>3266</v>
      </c>
      <c r="F191" s="26" t="s">
        <v>3243</v>
      </c>
      <c r="G191" s="29" t="s">
        <v>28</v>
      </c>
      <c r="H191" s="26" t="s">
        <v>23</v>
      </c>
      <c r="I191" s="26" t="s">
        <v>3244</v>
      </c>
      <c r="J191" s="45">
        <f t="shared" si="19"/>
        <v>22531.552600000003</v>
      </c>
      <c r="K191" s="45">
        <v>49.318399999999997</v>
      </c>
      <c r="L191" s="46">
        <f t="shared" si="20"/>
        <v>456.8589532507138</v>
      </c>
      <c r="M191" s="26">
        <v>60</v>
      </c>
      <c r="N191" s="37">
        <f t="shared" si="21"/>
        <v>375.5258766666667</v>
      </c>
      <c r="O191" s="38">
        <f t="shared" ca="1" si="17"/>
        <v>88</v>
      </c>
      <c r="P191" s="36">
        <f t="shared" ca="1" si="14"/>
        <v>-10514.724546666665</v>
      </c>
      <c r="Q191" s="36">
        <f t="shared" ca="1" si="22"/>
        <v>1</v>
      </c>
      <c r="R191" s="49" t="s">
        <v>3245</v>
      </c>
    </row>
    <row r="192" spans="2:18" s="5" customFormat="1" ht="67.5" customHeight="1" x14ac:dyDescent="0.25">
      <c r="B192" s="27">
        <v>43208</v>
      </c>
      <c r="C192" s="24" t="s">
        <v>2349</v>
      </c>
      <c r="D192" s="26" t="s">
        <v>3241</v>
      </c>
      <c r="E192" s="26" t="s">
        <v>3267</v>
      </c>
      <c r="F192" s="26" t="s">
        <v>3243</v>
      </c>
      <c r="G192" s="29" t="s">
        <v>28</v>
      </c>
      <c r="H192" s="26" t="s">
        <v>23</v>
      </c>
      <c r="I192" s="26" t="s">
        <v>3244</v>
      </c>
      <c r="J192" s="45">
        <f t="shared" si="19"/>
        <v>22531.552600000003</v>
      </c>
      <c r="K192" s="45">
        <v>49.318399999999997</v>
      </c>
      <c r="L192" s="46">
        <f t="shared" si="20"/>
        <v>456.8589532507138</v>
      </c>
      <c r="M192" s="26">
        <v>60</v>
      </c>
      <c r="N192" s="37">
        <f t="shared" si="21"/>
        <v>375.5258766666667</v>
      </c>
      <c r="O192" s="38">
        <f t="shared" ca="1" si="17"/>
        <v>88</v>
      </c>
      <c r="P192" s="36">
        <f t="shared" ca="1" si="14"/>
        <v>-10514.724546666665</v>
      </c>
      <c r="Q192" s="36">
        <f t="shared" ca="1" si="22"/>
        <v>1</v>
      </c>
      <c r="R192" s="49" t="s">
        <v>3245</v>
      </c>
    </row>
    <row r="193" spans="2:25" s="5" customFormat="1" ht="75" customHeight="1" x14ac:dyDescent="0.25">
      <c r="B193" s="27">
        <v>43208</v>
      </c>
      <c r="C193" s="24" t="s">
        <v>2349</v>
      </c>
      <c r="D193" s="26" t="s">
        <v>3241</v>
      </c>
      <c r="E193" s="26" t="s">
        <v>3268</v>
      </c>
      <c r="F193" s="26" t="s">
        <v>3243</v>
      </c>
      <c r="G193" s="29" t="s">
        <v>28</v>
      </c>
      <c r="H193" s="26" t="s">
        <v>23</v>
      </c>
      <c r="I193" s="26" t="s">
        <v>3244</v>
      </c>
      <c r="J193" s="45">
        <f t="shared" si="19"/>
        <v>22531.552600000003</v>
      </c>
      <c r="K193" s="45">
        <v>49.318399999999997</v>
      </c>
      <c r="L193" s="46">
        <f t="shared" si="20"/>
        <v>456.8589532507138</v>
      </c>
      <c r="M193" s="26">
        <v>60</v>
      </c>
      <c r="N193" s="37">
        <f t="shared" si="21"/>
        <v>375.5258766666667</v>
      </c>
      <c r="O193" s="38">
        <f t="shared" ca="1" si="17"/>
        <v>88</v>
      </c>
      <c r="P193" s="36">
        <f t="shared" ca="1" si="14"/>
        <v>-10514.724546666665</v>
      </c>
      <c r="Q193" s="36">
        <f t="shared" ca="1" si="22"/>
        <v>1</v>
      </c>
      <c r="R193" s="49" t="s">
        <v>3245</v>
      </c>
    </row>
    <row r="194" spans="2:25" s="5" customFormat="1" ht="69.75" customHeight="1" x14ac:dyDescent="0.25">
      <c r="B194" s="27">
        <v>43208</v>
      </c>
      <c r="C194" s="24" t="s">
        <v>2349</v>
      </c>
      <c r="D194" s="26" t="s">
        <v>3241</v>
      </c>
      <c r="E194" s="26" t="s">
        <v>3269</v>
      </c>
      <c r="F194" s="26" t="s">
        <v>3243</v>
      </c>
      <c r="G194" s="29" t="s">
        <v>28</v>
      </c>
      <c r="H194" s="26" t="s">
        <v>23</v>
      </c>
      <c r="I194" s="26" t="s">
        <v>3244</v>
      </c>
      <c r="J194" s="45">
        <f t="shared" si="19"/>
        <v>22531.552600000003</v>
      </c>
      <c r="K194" s="45">
        <v>49.318399999999997</v>
      </c>
      <c r="L194" s="46">
        <f t="shared" si="20"/>
        <v>456.8589532507138</v>
      </c>
      <c r="M194" s="26">
        <v>60</v>
      </c>
      <c r="N194" s="37">
        <f t="shared" si="21"/>
        <v>375.5258766666667</v>
      </c>
      <c r="O194" s="38">
        <f t="shared" ca="1" si="17"/>
        <v>88</v>
      </c>
      <c r="P194" s="36">
        <f t="shared" ca="1" si="14"/>
        <v>-10514.724546666665</v>
      </c>
      <c r="Q194" s="36">
        <f t="shared" ca="1" si="22"/>
        <v>1</v>
      </c>
      <c r="R194" s="49" t="s">
        <v>3245</v>
      </c>
    </row>
    <row r="195" spans="2:25" s="5" customFormat="1" ht="66.75" customHeight="1" x14ac:dyDescent="0.25">
      <c r="B195" s="27">
        <v>43208</v>
      </c>
      <c r="C195" s="24" t="s">
        <v>2349</v>
      </c>
      <c r="D195" s="26" t="s">
        <v>3241</v>
      </c>
      <c r="E195" s="26" t="s">
        <v>3270</v>
      </c>
      <c r="F195" s="26" t="s">
        <v>3243</v>
      </c>
      <c r="G195" s="29" t="s">
        <v>28</v>
      </c>
      <c r="H195" s="26" t="s">
        <v>23</v>
      </c>
      <c r="I195" s="26" t="s">
        <v>3244</v>
      </c>
      <c r="J195" s="45">
        <f t="shared" si="19"/>
        <v>22531.552600000003</v>
      </c>
      <c r="K195" s="45">
        <v>49.318399999999997</v>
      </c>
      <c r="L195" s="46">
        <f t="shared" si="20"/>
        <v>456.8589532507138</v>
      </c>
      <c r="M195" s="26">
        <v>60</v>
      </c>
      <c r="N195" s="37">
        <f t="shared" si="21"/>
        <v>375.5258766666667</v>
      </c>
      <c r="O195" s="38">
        <f t="shared" ca="1" si="17"/>
        <v>88</v>
      </c>
      <c r="P195" s="36">
        <f t="shared" ca="1" si="14"/>
        <v>-10514.724546666665</v>
      </c>
      <c r="Q195" s="36">
        <f t="shared" ca="1" si="22"/>
        <v>1</v>
      </c>
      <c r="R195" s="49" t="s">
        <v>3245</v>
      </c>
    </row>
    <row r="196" spans="2:25" s="5" customFormat="1" ht="75" customHeight="1" x14ac:dyDescent="0.25">
      <c r="B196" s="27">
        <v>43208</v>
      </c>
      <c r="C196" s="24" t="s">
        <v>2349</v>
      </c>
      <c r="D196" s="26" t="s">
        <v>3241</v>
      </c>
      <c r="E196" s="26" t="s">
        <v>3271</v>
      </c>
      <c r="F196" s="26" t="s">
        <v>3243</v>
      </c>
      <c r="G196" s="29" t="s">
        <v>28</v>
      </c>
      <c r="H196" s="26" t="s">
        <v>23</v>
      </c>
      <c r="I196" s="26" t="s">
        <v>3244</v>
      </c>
      <c r="J196" s="45">
        <f t="shared" si="19"/>
        <v>22531.552600000003</v>
      </c>
      <c r="K196" s="45">
        <v>49.318399999999997</v>
      </c>
      <c r="L196" s="46">
        <f t="shared" si="20"/>
        <v>456.8589532507138</v>
      </c>
      <c r="M196" s="26">
        <v>60</v>
      </c>
      <c r="N196" s="37">
        <f t="shared" si="21"/>
        <v>375.5258766666667</v>
      </c>
      <c r="O196" s="38">
        <f t="shared" ca="1" si="17"/>
        <v>88</v>
      </c>
      <c r="P196" s="36">
        <f t="shared" ca="1" si="14"/>
        <v>-10514.724546666665</v>
      </c>
      <c r="Q196" s="36">
        <f t="shared" ca="1" si="22"/>
        <v>1</v>
      </c>
      <c r="R196" s="49" t="s">
        <v>3245</v>
      </c>
    </row>
    <row r="197" spans="2:25" s="5" customFormat="1" ht="67.5" customHeight="1" x14ac:dyDescent="0.25">
      <c r="B197" s="27">
        <v>43208</v>
      </c>
      <c r="C197" s="24" t="s">
        <v>2349</v>
      </c>
      <c r="D197" s="26" t="s">
        <v>3241</v>
      </c>
      <c r="E197" s="26" t="s">
        <v>3272</v>
      </c>
      <c r="F197" s="26" t="s">
        <v>3243</v>
      </c>
      <c r="G197" s="29" t="s">
        <v>28</v>
      </c>
      <c r="H197" s="26" t="s">
        <v>23</v>
      </c>
      <c r="I197" s="26" t="s">
        <v>3244</v>
      </c>
      <c r="J197" s="45">
        <f t="shared" si="19"/>
        <v>22531.552600000003</v>
      </c>
      <c r="K197" s="45">
        <v>49.318399999999997</v>
      </c>
      <c r="L197" s="46">
        <f t="shared" si="20"/>
        <v>456.8589532507138</v>
      </c>
      <c r="M197" s="26">
        <v>60</v>
      </c>
      <c r="N197" s="37">
        <f t="shared" si="21"/>
        <v>375.5258766666667</v>
      </c>
      <c r="O197" s="38">
        <f t="shared" ca="1" si="17"/>
        <v>88</v>
      </c>
      <c r="P197" s="36">
        <f t="shared" ca="1" si="14"/>
        <v>-10514.724546666665</v>
      </c>
      <c r="Q197" s="36">
        <f t="shared" ca="1" si="22"/>
        <v>1</v>
      </c>
      <c r="R197" s="49" t="s">
        <v>3245</v>
      </c>
    </row>
    <row r="198" spans="2:25" s="5" customFormat="1" ht="67.5" customHeight="1" x14ac:dyDescent="0.25">
      <c r="B198" s="27">
        <v>43208</v>
      </c>
      <c r="C198" s="24" t="s">
        <v>2349</v>
      </c>
      <c r="D198" s="26" t="s">
        <v>3241</v>
      </c>
      <c r="E198" s="26" t="s">
        <v>3273</v>
      </c>
      <c r="F198" s="26" t="s">
        <v>3243</v>
      </c>
      <c r="G198" s="29" t="s">
        <v>28</v>
      </c>
      <c r="H198" s="26" t="s">
        <v>23</v>
      </c>
      <c r="I198" s="26" t="s">
        <v>3244</v>
      </c>
      <c r="J198" s="45">
        <f t="shared" si="19"/>
        <v>22531.552600000003</v>
      </c>
      <c r="K198" s="45">
        <v>49.318399999999997</v>
      </c>
      <c r="L198" s="46">
        <f t="shared" si="20"/>
        <v>456.8589532507138</v>
      </c>
      <c r="M198" s="26">
        <v>60</v>
      </c>
      <c r="N198" s="37">
        <f t="shared" si="21"/>
        <v>375.5258766666667</v>
      </c>
      <c r="O198" s="38">
        <f t="shared" ca="1" si="17"/>
        <v>88</v>
      </c>
      <c r="P198" s="36">
        <f t="shared" ca="1" si="14"/>
        <v>-10514.724546666665</v>
      </c>
      <c r="Q198" s="36">
        <f t="shared" ca="1" si="22"/>
        <v>1</v>
      </c>
      <c r="R198" s="49" t="s">
        <v>3245</v>
      </c>
    </row>
    <row r="199" spans="2:25" s="5" customFormat="1" ht="74.25" customHeight="1" x14ac:dyDescent="0.25">
      <c r="B199" s="27">
        <v>43208</v>
      </c>
      <c r="C199" s="24" t="s">
        <v>2349</v>
      </c>
      <c r="D199" s="26" t="s">
        <v>3241</v>
      </c>
      <c r="E199" s="26" t="s">
        <v>3274</v>
      </c>
      <c r="F199" s="26" t="s">
        <v>3243</v>
      </c>
      <c r="G199" s="29" t="s">
        <v>28</v>
      </c>
      <c r="H199" s="26" t="s">
        <v>23</v>
      </c>
      <c r="I199" s="26" t="s">
        <v>3244</v>
      </c>
      <c r="J199" s="45">
        <f t="shared" si="19"/>
        <v>22531.552600000003</v>
      </c>
      <c r="K199" s="45">
        <v>49.318399999999997</v>
      </c>
      <c r="L199" s="46">
        <f t="shared" si="20"/>
        <v>456.8589532507138</v>
      </c>
      <c r="M199" s="26">
        <v>60</v>
      </c>
      <c r="N199" s="37">
        <f t="shared" si="21"/>
        <v>375.5258766666667</v>
      </c>
      <c r="O199" s="38">
        <f t="shared" ca="1" si="17"/>
        <v>88</v>
      </c>
      <c r="P199" s="36">
        <f t="shared" ca="1" si="14"/>
        <v>-10514.724546666665</v>
      </c>
      <c r="Q199" s="36">
        <f t="shared" ca="1" si="22"/>
        <v>1</v>
      </c>
      <c r="R199" s="49" t="s">
        <v>3245</v>
      </c>
      <c r="Y199" s="5" t="s">
        <v>2048</v>
      </c>
    </row>
    <row r="200" spans="2:25" s="5" customFormat="1" ht="74.25" customHeight="1" x14ac:dyDescent="0.25">
      <c r="B200" s="27">
        <v>43208</v>
      </c>
      <c r="C200" s="24" t="s">
        <v>2349</v>
      </c>
      <c r="D200" s="26" t="s">
        <v>3241</v>
      </c>
      <c r="E200" s="26" t="s">
        <v>3275</v>
      </c>
      <c r="F200" s="26" t="s">
        <v>3243</v>
      </c>
      <c r="G200" s="29" t="s">
        <v>28</v>
      </c>
      <c r="H200" s="26" t="s">
        <v>23</v>
      </c>
      <c r="I200" s="26" t="s">
        <v>3244</v>
      </c>
      <c r="J200" s="45">
        <f t="shared" si="19"/>
        <v>22531.552600000003</v>
      </c>
      <c r="K200" s="45">
        <v>49.318399999999997</v>
      </c>
      <c r="L200" s="46">
        <f t="shared" si="20"/>
        <v>456.8589532507138</v>
      </c>
      <c r="M200" s="26">
        <v>60</v>
      </c>
      <c r="N200" s="37">
        <f t="shared" si="21"/>
        <v>375.5258766666667</v>
      </c>
      <c r="O200" s="38">
        <f t="shared" ca="1" si="17"/>
        <v>88</v>
      </c>
      <c r="P200" s="36">
        <f t="shared" ca="1" si="14"/>
        <v>-10514.724546666665</v>
      </c>
      <c r="Q200" s="36">
        <f t="shared" ca="1" si="22"/>
        <v>1</v>
      </c>
      <c r="R200" s="49" t="s">
        <v>3245</v>
      </c>
    </row>
    <row r="201" spans="2:25" s="5" customFormat="1" ht="72" customHeight="1" x14ac:dyDescent="0.25">
      <c r="B201" s="27">
        <v>43208</v>
      </c>
      <c r="C201" s="24" t="s">
        <v>2349</v>
      </c>
      <c r="D201" s="26" t="s">
        <v>3241</v>
      </c>
      <c r="E201" s="26" t="s">
        <v>3276</v>
      </c>
      <c r="F201" s="26" t="s">
        <v>3243</v>
      </c>
      <c r="G201" s="29" t="s">
        <v>28</v>
      </c>
      <c r="H201" s="26" t="s">
        <v>23</v>
      </c>
      <c r="I201" s="26" t="s">
        <v>3244</v>
      </c>
      <c r="J201" s="45">
        <f t="shared" si="19"/>
        <v>22531.552600000003</v>
      </c>
      <c r="K201" s="45">
        <v>49.318399999999997</v>
      </c>
      <c r="L201" s="46">
        <f t="shared" si="20"/>
        <v>456.8589532507138</v>
      </c>
      <c r="M201" s="26">
        <v>60</v>
      </c>
      <c r="N201" s="37">
        <f t="shared" si="21"/>
        <v>375.5258766666667</v>
      </c>
      <c r="O201" s="38">
        <f t="shared" ca="1" si="17"/>
        <v>88</v>
      </c>
      <c r="P201" s="36">
        <f t="shared" ref="P201:P264" ca="1" si="23">IF(OR(J201=0,M201=0,O201=0),0,J201-(N201*O201))</f>
        <v>-10514.724546666665</v>
      </c>
      <c r="Q201" s="36">
        <f t="shared" ca="1" si="22"/>
        <v>1</v>
      </c>
      <c r="R201" s="49" t="s">
        <v>3245</v>
      </c>
    </row>
    <row r="202" spans="2:25" s="5" customFormat="1" ht="69" customHeight="1" x14ac:dyDescent="0.25">
      <c r="B202" s="27">
        <v>43208</v>
      </c>
      <c r="C202" s="24" t="s">
        <v>2349</v>
      </c>
      <c r="D202" s="26" t="s">
        <v>3241</v>
      </c>
      <c r="E202" s="26" t="s">
        <v>3277</v>
      </c>
      <c r="F202" s="26" t="s">
        <v>3243</v>
      </c>
      <c r="G202" s="29" t="s">
        <v>28</v>
      </c>
      <c r="H202" s="26" t="s">
        <v>23</v>
      </c>
      <c r="I202" s="26" t="s">
        <v>3244</v>
      </c>
      <c r="J202" s="45">
        <f t="shared" si="19"/>
        <v>22531.552600000003</v>
      </c>
      <c r="K202" s="45">
        <v>49.318399999999997</v>
      </c>
      <c r="L202" s="46">
        <f t="shared" si="20"/>
        <v>456.8589532507138</v>
      </c>
      <c r="M202" s="26">
        <v>60</v>
      </c>
      <c r="N202" s="37">
        <f t="shared" si="21"/>
        <v>375.5258766666667</v>
      </c>
      <c r="O202" s="38">
        <f t="shared" ca="1" si="17"/>
        <v>88</v>
      </c>
      <c r="P202" s="36">
        <f t="shared" ca="1" si="23"/>
        <v>-10514.724546666665</v>
      </c>
      <c r="Q202" s="36">
        <f t="shared" ca="1" si="22"/>
        <v>1</v>
      </c>
      <c r="R202" s="49" t="s">
        <v>3245</v>
      </c>
    </row>
    <row r="203" spans="2:25" s="5" customFormat="1" ht="70.5" customHeight="1" x14ac:dyDescent="0.25">
      <c r="B203" s="27">
        <v>43208</v>
      </c>
      <c r="C203" s="24" t="s">
        <v>2349</v>
      </c>
      <c r="D203" s="26" t="s">
        <v>3241</v>
      </c>
      <c r="E203" s="26" t="s">
        <v>3278</v>
      </c>
      <c r="F203" s="26" t="s">
        <v>3243</v>
      </c>
      <c r="G203" s="29" t="s">
        <v>28</v>
      </c>
      <c r="H203" s="26" t="s">
        <v>23</v>
      </c>
      <c r="I203" s="26" t="s">
        <v>3244</v>
      </c>
      <c r="J203" s="45">
        <f t="shared" si="19"/>
        <v>22531.552600000003</v>
      </c>
      <c r="K203" s="45">
        <v>49.318399999999997</v>
      </c>
      <c r="L203" s="46">
        <f t="shared" si="20"/>
        <v>456.8589532507138</v>
      </c>
      <c r="M203" s="26">
        <v>60</v>
      </c>
      <c r="N203" s="37">
        <f t="shared" si="21"/>
        <v>375.5258766666667</v>
      </c>
      <c r="O203" s="38">
        <f t="shared" ca="1" si="17"/>
        <v>88</v>
      </c>
      <c r="P203" s="36">
        <f t="shared" ca="1" si="23"/>
        <v>-10514.724546666665</v>
      </c>
      <c r="Q203" s="36">
        <f t="shared" ca="1" si="22"/>
        <v>1</v>
      </c>
      <c r="R203" s="49" t="s">
        <v>3245</v>
      </c>
    </row>
    <row r="204" spans="2:25" s="5" customFormat="1" ht="68.25" customHeight="1" x14ac:dyDescent="0.25">
      <c r="B204" s="27">
        <v>43208</v>
      </c>
      <c r="C204" s="24" t="s">
        <v>2349</v>
      </c>
      <c r="D204" s="26" t="s">
        <v>3241</v>
      </c>
      <c r="E204" s="26" t="s">
        <v>3279</v>
      </c>
      <c r="F204" s="26" t="s">
        <v>3243</v>
      </c>
      <c r="G204" s="29" t="s">
        <v>28</v>
      </c>
      <c r="H204" s="26" t="s">
        <v>23</v>
      </c>
      <c r="I204" s="26" t="s">
        <v>3244</v>
      </c>
      <c r="J204" s="45">
        <f t="shared" si="19"/>
        <v>22531.552600000003</v>
      </c>
      <c r="K204" s="45">
        <v>49.318399999999997</v>
      </c>
      <c r="L204" s="46">
        <f t="shared" si="20"/>
        <v>456.8589532507138</v>
      </c>
      <c r="M204" s="26">
        <v>60</v>
      </c>
      <c r="N204" s="37">
        <f t="shared" si="21"/>
        <v>375.5258766666667</v>
      </c>
      <c r="O204" s="38">
        <f t="shared" ca="1" si="17"/>
        <v>88</v>
      </c>
      <c r="P204" s="36">
        <f t="shared" ca="1" si="23"/>
        <v>-10514.724546666665</v>
      </c>
      <c r="Q204" s="36">
        <f t="shared" ca="1" si="22"/>
        <v>1</v>
      </c>
      <c r="R204" s="49" t="s">
        <v>3245</v>
      </c>
    </row>
    <row r="205" spans="2:25" s="5" customFormat="1" ht="63.75" customHeight="1" x14ac:dyDescent="0.25">
      <c r="B205" s="27">
        <v>43252</v>
      </c>
      <c r="C205" s="24" t="s">
        <v>2349</v>
      </c>
      <c r="D205" s="26" t="s">
        <v>3280</v>
      </c>
      <c r="E205" s="26" t="s">
        <v>3281</v>
      </c>
      <c r="F205" s="26" t="s">
        <v>3282</v>
      </c>
      <c r="G205" s="29" t="s">
        <v>28</v>
      </c>
      <c r="H205" s="26" t="s">
        <v>1155</v>
      </c>
      <c r="I205" s="26" t="s">
        <v>19</v>
      </c>
      <c r="J205" s="45">
        <v>14514</v>
      </c>
      <c r="K205" s="45">
        <v>49.308599999999998</v>
      </c>
      <c r="L205" s="46">
        <f t="shared" si="20"/>
        <v>294.35027561115101</v>
      </c>
      <c r="M205" s="26">
        <v>60</v>
      </c>
      <c r="N205" s="37">
        <f t="shared" si="21"/>
        <v>241.9</v>
      </c>
      <c r="O205" s="38">
        <f t="shared" ref="O205:O249" ca="1" si="24">IF(B205&lt;&gt;0,(ROUND((NOW()-B205)/30,0)),0)</f>
        <v>87</v>
      </c>
      <c r="P205" s="36">
        <f t="shared" ca="1" si="23"/>
        <v>-6531.2999999999993</v>
      </c>
      <c r="Q205" s="36">
        <f t="shared" ca="1" si="22"/>
        <v>1</v>
      </c>
      <c r="R205" s="49" t="s">
        <v>2652</v>
      </c>
    </row>
    <row r="206" spans="2:25" s="5" customFormat="1" ht="54" customHeight="1" x14ac:dyDescent="0.25">
      <c r="B206" s="27">
        <v>43280</v>
      </c>
      <c r="C206" s="24" t="s">
        <v>2349</v>
      </c>
      <c r="D206" s="26" t="s">
        <v>3283</v>
      </c>
      <c r="E206" s="26" t="s">
        <v>3284</v>
      </c>
      <c r="F206" s="26" t="s">
        <v>3285</v>
      </c>
      <c r="G206" s="29" t="s">
        <v>3286</v>
      </c>
      <c r="H206" s="26" t="s">
        <v>3287</v>
      </c>
      <c r="I206" s="26" t="s">
        <v>19</v>
      </c>
      <c r="J206" s="45">
        <v>34990.01</v>
      </c>
      <c r="K206" s="45">
        <v>49.3401</v>
      </c>
      <c r="L206" s="46">
        <f t="shared" si="20"/>
        <v>709.15968958311805</v>
      </c>
      <c r="M206" s="26">
        <v>60</v>
      </c>
      <c r="N206" s="37">
        <f t="shared" si="21"/>
        <v>583.16683333333333</v>
      </c>
      <c r="O206" s="38">
        <f t="shared" ca="1" si="24"/>
        <v>86</v>
      </c>
      <c r="P206" s="36">
        <f t="shared" ca="1" si="23"/>
        <v>-15162.337666666666</v>
      </c>
      <c r="Q206" s="36">
        <f t="shared" ca="1" si="22"/>
        <v>1</v>
      </c>
      <c r="R206" s="49" t="s">
        <v>2702</v>
      </c>
    </row>
    <row r="207" spans="2:25" s="5" customFormat="1" ht="36" customHeight="1" x14ac:dyDescent="0.25">
      <c r="B207" s="27">
        <v>43319</v>
      </c>
      <c r="C207" s="24" t="s">
        <v>2349</v>
      </c>
      <c r="D207" s="26" t="s">
        <v>3288</v>
      </c>
      <c r="E207" s="26" t="s">
        <v>3289</v>
      </c>
      <c r="F207" s="26" t="s">
        <v>3290</v>
      </c>
      <c r="G207" s="29" t="s">
        <v>28</v>
      </c>
      <c r="H207" s="26" t="s">
        <v>3291</v>
      </c>
      <c r="I207" s="26" t="s">
        <v>19</v>
      </c>
      <c r="J207" s="45">
        <v>4574.62</v>
      </c>
      <c r="K207" s="45">
        <v>49.694299999999998</v>
      </c>
      <c r="L207" s="46">
        <f t="shared" ref="L207:L212" si="25">+J207/K207</f>
        <v>92.055225649621789</v>
      </c>
      <c r="M207" s="26">
        <v>60</v>
      </c>
      <c r="N207" s="37">
        <f t="shared" ref="N207:N212" si="26">IF(AND(J207&lt;&gt;0,M207&lt;&gt;0),J207/M207,0)</f>
        <v>76.24366666666667</v>
      </c>
      <c r="O207" s="38">
        <f t="shared" ca="1" si="24"/>
        <v>84</v>
      </c>
      <c r="P207" s="36">
        <f t="shared" ca="1" si="23"/>
        <v>-1829.848</v>
      </c>
      <c r="Q207" s="36">
        <f t="shared" ca="1" si="22"/>
        <v>1</v>
      </c>
      <c r="R207" s="49" t="s">
        <v>3292</v>
      </c>
    </row>
    <row r="208" spans="2:25" s="5" customFormat="1" ht="46.9" customHeight="1" x14ac:dyDescent="0.25">
      <c r="B208" s="27">
        <v>43342</v>
      </c>
      <c r="C208" s="24" t="s">
        <v>2349</v>
      </c>
      <c r="D208" s="26" t="s">
        <v>3288</v>
      </c>
      <c r="E208" s="26" t="s">
        <v>3293</v>
      </c>
      <c r="F208" s="26" t="s">
        <v>3294</v>
      </c>
      <c r="G208" s="29" t="s">
        <v>28</v>
      </c>
      <c r="H208" s="26" t="s">
        <v>3295</v>
      </c>
      <c r="I208" s="26" t="s">
        <v>19</v>
      </c>
      <c r="J208" s="45">
        <v>4366</v>
      </c>
      <c r="K208" s="45">
        <v>49.694299999999998</v>
      </c>
      <c r="L208" s="46">
        <f t="shared" si="25"/>
        <v>87.857158668096744</v>
      </c>
      <c r="M208" s="26">
        <v>60</v>
      </c>
      <c r="N208" s="37">
        <f t="shared" si="26"/>
        <v>72.766666666666666</v>
      </c>
      <c r="O208" s="38">
        <f t="shared" ca="1" si="24"/>
        <v>84</v>
      </c>
      <c r="P208" s="36">
        <f t="shared" ca="1" si="23"/>
        <v>-1746.3999999999996</v>
      </c>
      <c r="Q208" s="36">
        <f t="shared" ca="1" si="22"/>
        <v>1</v>
      </c>
      <c r="R208" s="49" t="s">
        <v>3292</v>
      </c>
    </row>
    <row r="209" spans="2:18" s="5" customFormat="1" ht="39.75" customHeight="1" x14ac:dyDescent="0.25">
      <c r="B209" s="27">
        <v>43342</v>
      </c>
      <c r="C209" s="24" t="s">
        <v>2349</v>
      </c>
      <c r="D209" s="26" t="s">
        <v>3288</v>
      </c>
      <c r="E209" s="26" t="s">
        <v>3296</v>
      </c>
      <c r="F209" s="26" t="s">
        <v>3294</v>
      </c>
      <c r="G209" s="29" t="s">
        <v>28</v>
      </c>
      <c r="H209" s="26" t="s">
        <v>3295</v>
      </c>
      <c r="I209" s="26" t="s">
        <v>19</v>
      </c>
      <c r="J209" s="45">
        <v>4366</v>
      </c>
      <c r="K209" s="45">
        <v>49.694299999999998</v>
      </c>
      <c r="L209" s="46">
        <f t="shared" si="25"/>
        <v>87.857158668096744</v>
      </c>
      <c r="M209" s="26">
        <v>60</v>
      </c>
      <c r="N209" s="37">
        <f t="shared" si="26"/>
        <v>72.766666666666666</v>
      </c>
      <c r="O209" s="38">
        <f t="shared" ca="1" si="24"/>
        <v>84</v>
      </c>
      <c r="P209" s="36">
        <f t="shared" ca="1" si="23"/>
        <v>-1746.3999999999996</v>
      </c>
      <c r="Q209" s="36">
        <f t="shared" ca="1" si="22"/>
        <v>1</v>
      </c>
      <c r="R209" s="49" t="s">
        <v>3292</v>
      </c>
    </row>
    <row r="210" spans="2:18" s="5" customFormat="1" ht="58.5" customHeight="1" x14ac:dyDescent="0.25">
      <c r="B210" s="27">
        <v>43349</v>
      </c>
      <c r="C210" s="24" t="s">
        <v>2349</v>
      </c>
      <c r="D210" s="26" t="s">
        <v>3297</v>
      </c>
      <c r="E210" s="26" t="s">
        <v>3298</v>
      </c>
      <c r="F210" s="26" t="s">
        <v>3299</v>
      </c>
      <c r="G210" s="29" t="s">
        <v>3300</v>
      </c>
      <c r="H210" s="25" t="s">
        <v>204</v>
      </c>
      <c r="I210" s="26" t="s">
        <v>19</v>
      </c>
      <c r="J210" s="45">
        <v>16614.400000000001</v>
      </c>
      <c r="K210" s="45">
        <v>49.7318</v>
      </c>
      <c r="L210" s="46">
        <f t="shared" si="25"/>
        <v>334.08000514761181</v>
      </c>
      <c r="M210" s="26">
        <v>60</v>
      </c>
      <c r="N210" s="37">
        <f t="shared" si="26"/>
        <v>276.90666666666669</v>
      </c>
      <c r="O210" s="38">
        <f t="shared" ca="1" si="24"/>
        <v>83</v>
      </c>
      <c r="P210" s="36">
        <f t="shared" ca="1" si="23"/>
        <v>-6368.8533333333326</v>
      </c>
      <c r="Q210" s="36">
        <f t="shared" ca="1" si="22"/>
        <v>1</v>
      </c>
      <c r="R210" s="49" t="s">
        <v>2652</v>
      </c>
    </row>
    <row r="211" spans="2:18" s="5" customFormat="1" ht="53.25" customHeight="1" x14ac:dyDescent="0.25">
      <c r="B211" s="27">
        <v>43349</v>
      </c>
      <c r="C211" s="24" t="s">
        <v>2349</v>
      </c>
      <c r="D211" s="26" t="s">
        <v>3297</v>
      </c>
      <c r="E211" s="26" t="s">
        <v>3301</v>
      </c>
      <c r="F211" s="26" t="s">
        <v>3299</v>
      </c>
      <c r="G211" s="29" t="s">
        <v>3302</v>
      </c>
      <c r="H211" s="25" t="s">
        <v>3177</v>
      </c>
      <c r="I211" s="26" t="s">
        <v>19</v>
      </c>
      <c r="J211" s="45">
        <v>16614.400000000001</v>
      </c>
      <c r="K211" s="45">
        <v>49.7318</v>
      </c>
      <c r="L211" s="46">
        <f t="shared" si="25"/>
        <v>334.08000514761181</v>
      </c>
      <c r="M211" s="26">
        <v>60</v>
      </c>
      <c r="N211" s="37">
        <f t="shared" si="26"/>
        <v>276.90666666666669</v>
      </c>
      <c r="O211" s="38">
        <f t="shared" ca="1" si="24"/>
        <v>83</v>
      </c>
      <c r="P211" s="36">
        <f t="shared" ca="1" si="23"/>
        <v>-6368.8533333333326</v>
      </c>
      <c r="Q211" s="36">
        <f t="shared" ca="1" si="22"/>
        <v>1</v>
      </c>
      <c r="R211" s="49" t="s">
        <v>2652</v>
      </c>
    </row>
    <row r="212" spans="2:18" s="5" customFormat="1" ht="39.75" customHeight="1" x14ac:dyDescent="0.25">
      <c r="B212" s="27">
        <v>43354</v>
      </c>
      <c r="C212" s="24" t="s">
        <v>2349</v>
      </c>
      <c r="D212" s="26" t="s">
        <v>3288</v>
      </c>
      <c r="E212" s="26" t="s">
        <v>3303</v>
      </c>
      <c r="F212" s="26" t="s">
        <v>3290</v>
      </c>
      <c r="G212" s="29" t="s">
        <v>28</v>
      </c>
      <c r="H212" s="26" t="s">
        <v>4392</v>
      </c>
      <c r="I212" s="26" t="s">
        <v>19</v>
      </c>
      <c r="J212" s="45">
        <v>4574.62</v>
      </c>
      <c r="K212" s="45">
        <v>49.731999999999999</v>
      </c>
      <c r="L212" s="46">
        <f t="shared" si="25"/>
        <v>91.985441968953594</v>
      </c>
      <c r="M212" s="26">
        <v>60</v>
      </c>
      <c r="N212" s="37">
        <f t="shared" si="26"/>
        <v>76.24366666666667</v>
      </c>
      <c r="O212" s="38">
        <f t="shared" ca="1" si="24"/>
        <v>83</v>
      </c>
      <c r="P212" s="36">
        <f t="shared" ca="1" si="23"/>
        <v>-1753.6043333333337</v>
      </c>
      <c r="Q212" s="36">
        <f t="shared" ca="1" si="22"/>
        <v>1</v>
      </c>
      <c r="R212" s="49" t="s">
        <v>3292</v>
      </c>
    </row>
    <row r="213" spans="2:18" s="5" customFormat="1" ht="51" x14ac:dyDescent="0.25">
      <c r="B213" s="27">
        <v>43376</v>
      </c>
      <c r="C213" s="24" t="s">
        <v>2349</v>
      </c>
      <c r="D213" s="26" t="s">
        <v>3304</v>
      </c>
      <c r="E213" s="26" t="s">
        <v>3305</v>
      </c>
      <c r="F213" s="26" t="s">
        <v>3306</v>
      </c>
      <c r="G213" s="29" t="s">
        <v>3307</v>
      </c>
      <c r="H213" s="26" t="s">
        <v>3308</v>
      </c>
      <c r="I213" s="26" t="s">
        <v>19</v>
      </c>
      <c r="J213" s="45">
        <v>144872.54</v>
      </c>
      <c r="K213" s="45">
        <v>49.792299999999997</v>
      </c>
      <c r="L213" s="46">
        <f t="shared" ref="L213:L235" si="27">+J213/K213</f>
        <v>2909.5370167676533</v>
      </c>
      <c r="M213" s="26">
        <v>60</v>
      </c>
      <c r="N213" s="37">
        <f t="shared" ref="N213:N260" si="28">IF(AND(J213&lt;&gt;0,M213&lt;&gt;0),J213/M213,0)</f>
        <v>2414.5423333333333</v>
      </c>
      <c r="O213" s="38">
        <f t="shared" ca="1" si="24"/>
        <v>82</v>
      </c>
      <c r="P213" s="36">
        <f t="shared" ca="1" si="23"/>
        <v>-53119.931333333312</v>
      </c>
      <c r="Q213" s="36">
        <f t="shared" ca="1" si="22"/>
        <v>1</v>
      </c>
      <c r="R213" s="49" t="s">
        <v>3309</v>
      </c>
    </row>
    <row r="214" spans="2:18" s="5" customFormat="1" ht="46.9" customHeight="1" x14ac:dyDescent="0.25">
      <c r="B214" s="27">
        <v>43381</v>
      </c>
      <c r="C214" s="24" t="s">
        <v>2349</v>
      </c>
      <c r="D214" s="26" t="s">
        <v>2923</v>
      </c>
      <c r="E214" s="26" t="s">
        <v>3310</v>
      </c>
      <c r="F214" s="26" t="s">
        <v>3311</v>
      </c>
      <c r="G214" s="29" t="s">
        <v>3312</v>
      </c>
      <c r="H214" s="26" t="s">
        <v>3233</v>
      </c>
      <c r="I214" s="26" t="s">
        <v>19</v>
      </c>
      <c r="J214" s="45">
        <v>11339.8</v>
      </c>
      <c r="K214" s="45">
        <v>49.806600000000003</v>
      </c>
      <c r="L214" s="46">
        <f t="shared" si="27"/>
        <v>227.67665329494483</v>
      </c>
      <c r="M214" s="26">
        <v>60</v>
      </c>
      <c r="N214" s="37">
        <f t="shared" si="28"/>
        <v>188.99666666666664</v>
      </c>
      <c r="O214" s="38">
        <f t="shared" ca="1" si="24"/>
        <v>82</v>
      </c>
      <c r="P214" s="36">
        <f t="shared" ca="1" si="23"/>
        <v>-4157.9266666666645</v>
      </c>
      <c r="Q214" s="36">
        <f t="shared" ca="1" si="22"/>
        <v>1</v>
      </c>
      <c r="R214" s="49" t="s">
        <v>2652</v>
      </c>
    </row>
    <row r="215" spans="2:18" s="5" customFormat="1" ht="51" x14ac:dyDescent="0.25">
      <c r="B215" s="27">
        <v>43381</v>
      </c>
      <c r="C215" s="24" t="s">
        <v>2349</v>
      </c>
      <c r="D215" s="26" t="s">
        <v>2923</v>
      </c>
      <c r="E215" s="26" t="s">
        <v>3314</v>
      </c>
      <c r="F215" s="26" t="s">
        <v>3315</v>
      </c>
      <c r="G215" s="29" t="s">
        <v>3316</v>
      </c>
      <c r="H215" s="26" t="s">
        <v>34</v>
      </c>
      <c r="I215" s="26" t="s">
        <v>19</v>
      </c>
      <c r="J215" s="45">
        <f>67392.16/4</f>
        <v>16848.04</v>
      </c>
      <c r="K215" s="45">
        <v>49.806600000000003</v>
      </c>
      <c r="L215" s="46">
        <f t="shared" si="27"/>
        <v>338.26922536370682</v>
      </c>
      <c r="M215" s="26">
        <v>60</v>
      </c>
      <c r="N215" s="37">
        <f t="shared" si="28"/>
        <v>280.8006666666667</v>
      </c>
      <c r="O215" s="38">
        <f t="shared" ca="1" si="24"/>
        <v>82</v>
      </c>
      <c r="P215" s="36">
        <f t="shared" ca="1" si="23"/>
        <v>-6177.6146666666682</v>
      </c>
      <c r="Q215" s="36">
        <f t="shared" ca="1" si="22"/>
        <v>1</v>
      </c>
      <c r="R215" s="49" t="s">
        <v>2652</v>
      </c>
    </row>
    <row r="216" spans="2:18" s="5" customFormat="1" ht="51" x14ac:dyDescent="0.25">
      <c r="B216" s="27">
        <v>43381</v>
      </c>
      <c r="C216" s="24" t="s">
        <v>2349</v>
      </c>
      <c r="D216" s="26" t="s">
        <v>2923</v>
      </c>
      <c r="E216" s="26" t="s">
        <v>3317</v>
      </c>
      <c r="F216" s="26" t="s">
        <v>3315</v>
      </c>
      <c r="G216" s="29" t="s">
        <v>3316</v>
      </c>
      <c r="H216" s="26" t="s">
        <v>764</v>
      </c>
      <c r="I216" s="26" t="s">
        <v>19</v>
      </c>
      <c r="J216" s="45">
        <f>67392.16/4</f>
        <v>16848.04</v>
      </c>
      <c r="K216" s="45">
        <v>49.806600000000003</v>
      </c>
      <c r="L216" s="46">
        <f t="shared" si="27"/>
        <v>338.26922536370682</v>
      </c>
      <c r="M216" s="26">
        <v>60</v>
      </c>
      <c r="N216" s="37">
        <f t="shared" si="28"/>
        <v>280.8006666666667</v>
      </c>
      <c r="O216" s="38">
        <f t="shared" ca="1" si="24"/>
        <v>82</v>
      </c>
      <c r="P216" s="36">
        <f t="shared" ca="1" si="23"/>
        <v>-6177.6146666666682</v>
      </c>
      <c r="Q216" s="36">
        <f t="shared" ca="1" si="22"/>
        <v>1</v>
      </c>
      <c r="R216" s="49" t="s">
        <v>2652</v>
      </c>
    </row>
    <row r="217" spans="2:18" s="5" customFormat="1" ht="52.5" customHeight="1" x14ac:dyDescent="0.25">
      <c r="B217" s="27">
        <v>43381</v>
      </c>
      <c r="C217" s="24" t="s">
        <v>2349</v>
      </c>
      <c r="D217" s="26" t="s">
        <v>2923</v>
      </c>
      <c r="E217" s="26" t="s">
        <v>3318</v>
      </c>
      <c r="F217" s="26" t="s">
        <v>3315</v>
      </c>
      <c r="G217" s="29" t="s">
        <v>3316</v>
      </c>
      <c r="H217" s="26" t="s">
        <v>3308</v>
      </c>
      <c r="I217" s="26" t="s">
        <v>19</v>
      </c>
      <c r="J217" s="45">
        <f>67392.16/4</f>
        <v>16848.04</v>
      </c>
      <c r="K217" s="45">
        <v>49.806600000000003</v>
      </c>
      <c r="L217" s="46">
        <f t="shared" si="27"/>
        <v>338.26922536370682</v>
      </c>
      <c r="M217" s="26">
        <v>60</v>
      </c>
      <c r="N217" s="37">
        <f t="shared" si="28"/>
        <v>280.8006666666667</v>
      </c>
      <c r="O217" s="38">
        <f t="shared" ca="1" si="24"/>
        <v>82</v>
      </c>
      <c r="P217" s="36">
        <f t="shared" ca="1" si="23"/>
        <v>-6177.6146666666682</v>
      </c>
      <c r="Q217" s="36">
        <f t="shared" ca="1" si="22"/>
        <v>1</v>
      </c>
      <c r="R217" s="49" t="s">
        <v>2652</v>
      </c>
    </row>
    <row r="218" spans="2:18" s="5" customFormat="1" ht="48.75" customHeight="1" x14ac:dyDescent="0.25">
      <c r="B218" s="27">
        <v>43381</v>
      </c>
      <c r="C218" s="24" t="s">
        <v>2349</v>
      </c>
      <c r="D218" s="26" t="s">
        <v>2923</v>
      </c>
      <c r="E218" s="26" t="s">
        <v>3319</v>
      </c>
      <c r="F218" s="26" t="s">
        <v>3315</v>
      </c>
      <c r="G218" s="29" t="s">
        <v>3320</v>
      </c>
      <c r="H218" s="26" t="s">
        <v>3308</v>
      </c>
      <c r="I218" s="26" t="s">
        <v>19</v>
      </c>
      <c r="J218" s="45">
        <f>67392.16/4</f>
        <v>16848.04</v>
      </c>
      <c r="K218" s="45">
        <v>49.806600000000003</v>
      </c>
      <c r="L218" s="46">
        <f t="shared" si="27"/>
        <v>338.26922536370682</v>
      </c>
      <c r="M218" s="26">
        <v>60</v>
      </c>
      <c r="N218" s="37">
        <f t="shared" si="28"/>
        <v>280.8006666666667</v>
      </c>
      <c r="O218" s="38">
        <f t="shared" ca="1" si="24"/>
        <v>82</v>
      </c>
      <c r="P218" s="36">
        <f t="shared" ca="1" si="23"/>
        <v>-6177.6146666666682</v>
      </c>
      <c r="Q218" s="36">
        <f t="shared" ca="1" si="22"/>
        <v>1</v>
      </c>
      <c r="R218" s="49" t="s">
        <v>2652</v>
      </c>
    </row>
    <row r="219" spans="2:18" s="5" customFormat="1" ht="51" customHeight="1" x14ac:dyDescent="0.25">
      <c r="B219" s="27">
        <v>43381</v>
      </c>
      <c r="C219" s="24" t="s">
        <v>2349</v>
      </c>
      <c r="D219" s="26" t="s">
        <v>2923</v>
      </c>
      <c r="E219" s="26" t="s">
        <v>3321</v>
      </c>
      <c r="F219" s="26" t="s">
        <v>3322</v>
      </c>
      <c r="G219" s="29" t="s">
        <v>3323</v>
      </c>
      <c r="H219" s="26" t="s">
        <v>34</v>
      </c>
      <c r="I219" s="26" t="s">
        <v>19</v>
      </c>
      <c r="J219" s="45">
        <v>21594</v>
      </c>
      <c r="K219" s="45">
        <v>49.806600000000003</v>
      </c>
      <c r="L219" s="46">
        <f t="shared" si="27"/>
        <v>433.55699847008225</v>
      </c>
      <c r="M219" s="26">
        <v>60</v>
      </c>
      <c r="N219" s="37">
        <f t="shared" si="28"/>
        <v>359.9</v>
      </c>
      <c r="O219" s="38">
        <f t="shared" ca="1" si="24"/>
        <v>82</v>
      </c>
      <c r="P219" s="36">
        <f t="shared" ca="1" si="23"/>
        <v>-7917.7999999999993</v>
      </c>
      <c r="Q219" s="36">
        <f t="shared" ca="1" si="22"/>
        <v>1</v>
      </c>
      <c r="R219" s="49" t="s">
        <v>2652</v>
      </c>
    </row>
    <row r="220" spans="2:18" s="5" customFormat="1" ht="51.75" customHeight="1" x14ac:dyDescent="0.25">
      <c r="B220" s="27">
        <v>43381</v>
      </c>
      <c r="C220" s="24" t="s">
        <v>2349</v>
      </c>
      <c r="D220" s="26" t="s">
        <v>2923</v>
      </c>
      <c r="E220" s="26" t="s">
        <v>3324</v>
      </c>
      <c r="F220" s="26" t="s">
        <v>3325</v>
      </c>
      <c r="G220" s="29" t="s">
        <v>3326</v>
      </c>
      <c r="H220" s="26" t="s">
        <v>843</v>
      </c>
      <c r="I220" s="26" t="s">
        <v>19</v>
      </c>
      <c r="J220" s="45">
        <f>18875.28/2</f>
        <v>9437.64</v>
      </c>
      <c r="K220" s="45">
        <v>49.806600000000003</v>
      </c>
      <c r="L220" s="46">
        <f t="shared" si="27"/>
        <v>189.48573080676053</v>
      </c>
      <c r="M220" s="26">
        <v>60</v>
      </c>
      <c r="N220" s="37">
        <f t="shared" si="28"/>
        <v>157.29399999999998</v>
      </c>
      <c r="O220" s="38">
        <f t="shared" ca="1" si="24"/>
        <v>82</v>
      </c>
      <c r="P220" s="36">
        <f t="shared" ca="1" si="23"/>
        <v>-3460.4679999999989</v>
      </c>
      <c r="Q220" s="36">
        <f t="shared" ca="1" si="22"/>
        <v>1</v>
      </c>
      <c r="R220" s="49" t="s">
        <v>2652</v>
      </c>
    </row>
    <row r="221" spans="2:18" s="5" customFormat="1" ht="54" customHeight="1" x14ac:dyDescent="0.25">
      <c r="B221" s="27">
        <v>43381</v>
      </c>
      <c r="C221" s="24" t="s">
        <v>2349</v>
      </c>
      <c r="D221" s="26" t="s">
        <v>2923</v>
      </c>
      <c r="E221" s="26" t="s">
        <v>3327</v>
      </c>
      <c r="F221" s="26" t="s">
        <v>3325</v>
      </c>
      <c r="G221" s="29" t="s">
        <v>3326</v>
      </c>
      <c r="H221" s="26" t="s">
        <v>3328</v>
      </c>
      <c r="I221" s="26" t="s">
        <v>19</v>
      </c>
      <c r="J221" s="45">
        <f>18875.28/2</f>
        <v>9437.64</v>
      </c>
      <c r="K221" s="45">
        <v>49.806600000000003</v>
      </c>
      <c r="L221" s="46">
        <f t="shared" si="27"/>
        <v>189.48573080676053</v>
      </c>
      <c r="M221" s="26">
        <v>60</v>
      </c>
      <c r="N221" s="37">
        <f t="shared" si="28"/>
        <v>157.29399999999998</v>
      </c>
      <c r="O221" s="38">
        <f t="shared" ca="1" si="24"/>
        <v>82</v>
      </c>
      <c r="P221" s="36">
        <f t="shared" ca="1" si="23"/>
        <v>-3460.4679999999989</v>
      </c>
      <c r="Q221" s="36">
        <f t="shared" ca="1" si="22"/>
        <v>1</v>
      </c>
      <c r="R221" s="49" t="s">
        <v>2652</v>
      </c>
    </row>
    <row r="222" spans="2:18" s="5" customFormat="1" ht="46.9" customHeight="1" x14ac:dyDescent="0.25">
      <c r="B222" s="27">
        <v>43392</v>
      </c>
      <c r="C222" s="24" t="s">
        <v>2349</v>
      </c>
      <c r="D222" s="26" t="s">
        <v>3288</v>
      </c>
      <c r="E222" s="26" t="s">
        <v>3329</v>
      </c>
      <c r="F222" s="26" t="s">
        <v>3330</v>
      </c>
      <c r="G222" s="29" t="s">
        <v>3331</v>
      </c>
      <c r="H222" s="26" t="s">
        <v>3308</v>
      </c>
      <c r="I222" s="26" t="s">
        <v>19</v>
      </c>
      <c r="J222" s="45">
        <v>25901</v>
      </c>
      <c r="K222" s="45">
        <v>49.945099999999996</v>
      </c>
      <c r="L222" s="46">
        <f t="shared" si="27"/>
        <v>518.58941117346853</v>
      </c>
      <c r="M222" s="26">
        <v>60</v>
      </c>
      <c r="N222" s="37">
        <f t="shared" si="28"/>
        <v>431.68333333333334</v>
      </c>
      <c r="O222" s="38">
        <f t="shared" ca="1" si="24"/>
        <v>82</v>
      </c>
      <c r="P222" s="36">
        <f t="shared" ca="1" si="23"/>
        <v>-9497.0333333333328</v>
      </c>
      <c r="Q222" s="36">
        <f t="shared" ca="1" si="22"/>
        <v>1</v>
      </c>
      <c r="R222" s="49" t="s">
        <v>3292</v>
      </c>
    </row>
    <row r="223" spans="2:18" s="5" customFormat="1" ht="39.75" customHeight="1" x14ac:dyDescent="0.25">
      <c r="B223" s="27">
        <v>43392</v>
      </c>
      <c r="C223" s="24" t="s">
        <v>2349</v>
      </c>
      <c r="D223" s="26" t="s">
        <v>3288</v>
      </c>
      <c r="E223" s="26" t="s">
        <v>3332</v>
      </c>
      <c r="F223" s="26" t="s">
        <v>3290</v>
      </c>
      <c r="G223" s="29" t="s">
        <v>28</v>
      </c>
      <c r="H223" s="26" t="s">
        <v>3333</v>
      </c>
      <c r="I223" s="26" t="s">
        <v>19</v>
      </c>
      <c r="J223" s="45">
        <v>4574.62</v>
      </c>
      <c r="K223" s="45">
        <v>49.945099999999996</v>
      </c>
      <c r="L223" s="46">
        <f t="shared" si="27"/>
        <v>91.592969080049897</v>
      </c>
      <c r="M223" s="26">
        <v>60</v>
      </c>
      <c r="N223" s="37">
        <f t="shared" si="28"/>
        <v>76.24366666666667</v>
      </c>
      <c r="O223" s="38">
        <f t="shared" ca="1" si="24"/>
        <v>82</v>
      </c>
      <c r="P223" s="36">
        <f t="shared" ca="1" si="23"/>
        <v>-1677.3606666666674</v>
      </c>
      <c r="Q223" s="36">
        <f t="shared" ca="1" si="22"/>
        <v>1</v>
      </c>
      <c r="R223" s="49" t="s">
        <v>3292</v>
      </c>
    </row>
    <row r="224" spans="2:18" s="5" customFormat="1" ht="38.25" customHeight="1" x14ac:dyDescent="0.25">
      <c r="B224" s="27">
        <v>43392</v>
      </c>
      <c r="C224" s="24" t="s">
        <v>2349</v>
      </c>
      <c r="D224" s="26" t="s">
        <v>3288</v>
      </c>
      <c r="E224" s="26" t="s">
        <v>3334</v>
      </c>
      <c r="F224" s="26" t="s">
        <v>3290</v>
      </c>
      <c r="G224" s="29" t="s">
        <v>28</v>
      </c>
      <c r="H224" s="26" t="s">
        <v>3335</v>
      </c>
      <c r="I224" s="26" t="s">
        <v>19</v>
      </c>
      <c r="J224" s="45">
        <v>4574.62</v>
      </c>
      <c r="K224" s="45">
        <v>49.945099999999996</v>
      </c>
      <c r="L224" s="46">
        <f t="shared" si="27"/>
        <v>91.592969080049897</v>
      </c>
      <c r="M224" s="26">
        <v>60</v>
      </c>
      <c r="N224" s="37">
        <f t="shared" si="28"/>
        <v>76.24366666666667</v>
      </c>
      <c r="O224" s="38">
        <f t="shared" ca="1" si="24"/>
        <v>82</v>
      </c>
      <c r="P224" s="36">
        <f t="shared" ca="1" si="23"/>
        <v>-1677.3606666666674</v>
      </c>
      <c r="Q224" s="36">
        <f t="shared" ca="1" si="22"/>
        <v>1</v>
      </c>
      <c r="R224" s="49" t="s">
        <v>3292</v>
      </c>
    </row>
    <row r="225" spans="2:18" s="5" customFormat="1" ht="38.25" customHeight="1" x14ac:dyDescent="0.25">
      <c r="B225" s="27">
        <v>43392</v>
      </c>
      <c r="C225" s="24" t="s">
        <v>2349</v>
      </c>
      <c r="D225" s="26" t="s">
        <v>3288</v>
      </c>
      <c r="E225" s="26" t="s">
        <v>3336</v>
      </c>
      <c r="F225" s="26" t="s">
        <v>3290</v>
      </c>
      <c r="G225" s="29" t="s">
        <v>28</v>
      </c>
      <c r="H225" s="26" t="s">
        <v>3337</v>
      </c>
      <c r="I225" s="26" t="s">
        <v>19</v>
      </c>
      <c r="J225" s="45">
        <v>4574.62</v>
      </c>
      <c r="K225" s="45">
        <v>49.945099999999996</v>
      </c>
      <c r="L225" s="46">
        <f t="shared" si="27"/>
        <v>91.592969080049897</v>
      </c>
      <c r="M225" s="26">
        <v>60</v>
      </c>
      <c r="N225" s="37">
        <f t="shared" si="28"/>
        <v>76.24366666666667</v>
      </c>
      <c r="O225" s="38">
        <f t="shared" ca="1" si="24"/>
        <v>82</v>
      </c>
      <c r="P225" s="36">
        <f t="shared" ca="1" si="23"/>
        <v>-1677.3606666666674</v>
      </c>
      <c r="Q225" s="36">
        <f t="shared" ca="1" si="22"/>
        <v>1</v>
      </c>
      <c r="R225" s="49" t="s">
        <v>3292</v>
      </c>
    </row>
    <row r="226" spans="2:18" s="5" customFormat="1" ht="39" customHeight="1" x14ac:dyDescent="0.25">
      <c r="B226" s="27">
        <v>43392</v>
      </c>
      <c r="C226" s="24" t="s">
        <v>2349</v>
      </c>
      <c r="D226" s="26" t="s">
        <v>3288</v>
      </c>
      <c r="E226" s="26" t="s">
        <v>3338</v>
      </c>
      <c r="F226" s="26" t="s">
        <v>3290</v>
      </c>
      <c r="G226" s="29" t="s">
        <v>28</v>
      </c>
      <c r="H226" s="26" t="s">
        <v>3339</v>
      </c>
      <c r="I226" s="26" t="s">
        <v>19</v>
      </c>
      <c r="J226" s="45">
        <v>4574.62</v>
      </c>
      <c r="K226" s="45">
        <v>49.945099999999996</v>
      </c>
      <c r="L226" s="46">
        <f t="shared" si="27"/>
        <v>91.592969080049897</v>
      </c>
      <c r="M226" s="26">
        <v>60</v>
      </c>
      <c r="N226" s="37">
        <f t="shared" si="28"/>
        <v>76.24366666666667</v>
      </c>
      <c r="O226" s="38">
        <f t="shared" ca="1" si="24"/>
        <v>82</v>
      </c>
      <c r="P226" s="36">
        <f t="shared" ca="1" si="23"/>
        <v>-1677.3606666666674</v>
      </c>
      <c r="Q226" s="36">
        <f t="shared" ca="1" si="22"/>
        <v>1</v>
      </c>
      <c r="R226" s="49" t="s">
        <v>3292</v>
      </c>
    </row>
    <row r="227" spans="2:18" s="5" customFormat="1" ht="46.9" customHeight="1" x14ac:dyDescent="0.25">
      <c r="B227" s="27">
        <v>43392</v>
      </c>
      <c r="C227" s="24" t="s">
        <v>2349</v>
      </c>
      <c r="D227" s="26" t="s">
        <v>3288</v>
      </c>
      <c r="E227" s="26" t="s">
        <v>3340</v>
      </c>
      <c r="F227" s="26" t="s">
        <v>3290</v>
      </c>
      <c r="G227" s="29" t="s">
        <v>28</v>
      </c>
      <c r="H227" s="26" t="s">
        <v>3341</v>
      </c>
      <c r="I227" s="26" t="s">
        <v>19</v>
      </c>
      <c r="J227" s="45">
        <v>4574.62</v>
      </c>
      <c r="K227" s="45">
        <v>49.945099999999996</v>
      </c>
      <c r="L227" s="46">
        <f t="shared" si="27"/>
        <v>91.592969080049897</v>
      </c>
      <c r="M227" s="26">
        <v>60</v>
      </c>
      <c r="N227" s="37">
        <f t="shared" si="28"/>
        <v>76.24366666666667</v>
      </c>
      <c r="O227" s="38">
        <f t="shared" ca="1" si="24"/>
        <v>82</v>
      </c>
      <c r="P227" s="36">
        <f t="shared" ca="1" si="23"/>
        <v>-1677.3606666666674</v>
      </c>
      <c r="Q227" s="36">
        <f t="shared" ca="1" si="22"/>
        <v>1</v>
      </c>
      <c r="R227" s="49" t="s">
        <v>3292</v>
      </c>
    </row>
    <row r="228" spans="2:18" s="5" customFormat="1" ht="46.9" customHeight="1" x14ac:dyDescent="0.25">
      <c r="B228" s="27">
        <v>43392</v>
      </c>
      <c r="C228" s="24" t="s">
        <v>2349</v>
      </c>
      <c r="D228" s="26" t="s">
        <v>3288</v>
      </c>
      <c r="E228" s="26" t="s">
        <v>3342</v>
      </c>
      <c r="F228" s="26" t="s">
        <v>3290</v>
      </c>
      <c r="G228" s="29" t="s">
        <v>28</v>
      </c>
      <c r="H228" s="26" t="s">
        <v>3343</v>
      </c>
      <c r="I228" s="26" t="s">
        <v>19</v>
      </c>
      <c r="J228" s="45">
        <v>4574.62</v>
      </c>
      <c r="K228" s="45">
        <v>49.945099999999996</v>
      </c>
      <c r="L228" s="46">
        <f t="shared" si="27"/>
        <v>91.592969080049897</v>
      </c>
      <c r="M228" s="26">
        <v>60</v>
      </c>
      <c r="N228" s="37">
        <f t="shared" si="28"/>
        <v>76.24366666666667</v>
      </c>
      <c r="O228" s="38">
        <f t="shared" ca="1" si="24"/>
        <v>82</v>
      </c>
      <c r="P228" s="36">
        <f t="shared" ca="1" si="23"/>
        <v>-1677.3606666666674</v>
      </c>
      <c r="Q228" s="36">
        <f t="shared" ca="1" si="22"/>
        <v>1</v>
      </c>
      <c r="R228" s="49" t="s">
        <v>3292</v>
      </c>
    </row>
    <row r="229" spans="2:18" s="5" customFormat="1" ht="37.5" customHeight="1" x14ac:dyDescent="0.25">
      <c r="B229" s="27">
        <v>43392</v>
      </c>
      <c r="C229" s="24" t="s">
        <v>2349</v>
      </c>
      <c r="D229" s="26" t="s">
        <v>3288</v>
      </c>
      <c r="E229" s="26" t="s">
        <v>3344</v>
      </c>
      <c r="F229" s="26" t="s">
        <v>3290</v>
      </c>
      <c r="G229" s="29" t="s">
        <v>28</v>
      </c>
      <c r="H229" s="26" t="s">
        <v>4390</v>
      </c>
      <c r="I229" s="26" t="s">
        <v>19</v>
      </c>
      <c r="J229" s="45">
        <v>4574.62</v>
      </c>
      <c r="K229" s="45">
        <v>49.945099999999996</v>
      </c>
      <c r="L229" s="46">
        <f t="shared" si="27"/>
        <v>91.592969080049897</v>
      </c>
      <c r="M229" s="26">
        <v>60</v>
      </c>
      <c r="N229" s="37">
        <f t="shared" si="28"/>
        <v>76.24366666666667</v>
      </c>
      <c r="O229" s="38">
        <f t="shared" ca="1" si="24"/>
        <v>82</v>
      </c>
      <c r="P229" s="36">
        <f t="shared" ca="1" si="23"/>
        <v>-1677.3606666666674</v>
      </c>
      <c r="Q229" s="36">
        <f t="shared" ca="1" si="22"/>
        <v>1</v>
      </c>
      <c r="R229" s="49" t="s">
        <v>3292</v>
      </c>
    </row>
    <row r="230" spans="2:18" s="5" customFormat="1" ht="37.5" customHeight="1" x14ac:dyDescent="0.25">
      <c r="B230" s="27">
        <v>43392</v>
      </c>
      <c r="C230" s="24" t="s">
        <v>2349</v>
      </c>
      <c r="D230" s="26" t="s">
        <v>3288</v>
      </c>
      <c r="E230" s="26" t="s">
        <v>3345</v>
      </c>
      <c r="F230" s="26" t="s">
        <v>3290</v>
      </c>
      <c r="G230" s="29" t="s">
        <v>28</v>
      </c>
      <c r="H230" s="26" t="s">
        <v>2916</v>
      </c>
      <c r="I230" s="26" t="s">
        <v>19</v>
      </c>
      <c r="J230" s="45">
        <v>4574.62</v>
      </c>
      <c r="K230" s="45">
        <v>49.945099999999996</v>
      </c>
      <c r="L230" s="46">
        <f t="shared" si="27"/>
        <v>91.592969080049897</v>
      </c>
      <c r="M230" s="26">
        <v>60</v>
      </c>
      <c r="N230" s="37">
        <f t="shared" si="28"/>
        <v>76.24366666666667</v>
      </c>
      <c r="O230" s="38">
        <f t="shared" ca="1" si="24"/>
        <v>82</v>
      </c>
      <c r="P230" s="36">
        <f t="shared" ca="1" si="23"/>
        <v>-1677.3606666666674</v>
      </c>
      <c r="Q230" s="36">
        <f t="shared" ca="1" si="22"/>
        <v>1</v>
      </c>
      <c r="R230" s="49" t="s">
        <v>3292</v>
      </c>
    </row>
    <row r="231" spans="2:18" s="5" customFormat="1" ht="36" customHeight="1" x14ac:dyDescent="0.25">
      <c r="B231" s="27">
        <v>43392</v>
      </c>
      <c r="C231" s="24" t="s">
        <v>2349</v>
      </c>
      <c r="D231" s="26" t="s">
        <v>3288</v>
      </c>
      <c r="E231" s="26" t="s">
        <v>3346</v>
      </c>
      <c r="F231" s="26" t="s">
        <v>3290</v>
      </c>
      <c r="G231" s="29" t="s">
        <v>28</v>
      </c>
      <c r="H231" s="26" t="s">
        <v>3347</v>
      </c>
      <c r="I231" s="26" t="s">
        <v>19</v>
      </c>
      <c r="J231" s="45">
        <v>4574.62</v>
      </c>
      <c r="K231" s="45">
        <v>49.945099999999996</v>
      </c>
      <c r="L231" s="46">
        <f t="shared" si="27"/>
        <v>91.592969080049897</v>
      </c>
      <c r="M231" s="26">
        <v>60</v>
      </c>
      <c r="N231" s="37">
        <f t="shared" si="28"/>
        <v>76.24366666666667</v>
      </c>
      <c r="O231" s="38">
        <f t="shared" ca="1" si="24"/>
        <v>82</v>
      </c>
      <c r="P231" s="36">
        <f t="shared" ca="1" si="23"/>
        <v>-1677.3606666666674</v>
      </c>
      <c r="Q231" s="36">
        <f t="shared" ca="1" si="22"/>
        <v>1</v>
      </c>
      <c r="R231" s="49" t="s">
        <v>3292</v>
      </c>
    </row>
    <row r="232" spans="2:18" s="5" customFormat="1" ht="36.75" customHeight="1" x14ac:dyDescent="0.25">
      <c r="B232" s="27">
        <v>43392</v>
      </c>
      <c r="C232" s="24" t="s">
        <v>2349</v>
      </c>
      <c r="D232" s="26" t="s">
        <v>3288</v>
      </c>
      <c r="E232" s="26" t="s">
        <v>3348</v>
      </c>
      <c r="F232" s="26" t="s">
        <v>3290</v>
      </c>
      <c r="G232" s="29" t="s">
        <v>28</v>
      </c>
      <c r="H232" s="26" t="s">
        <v>3349</v>
      </c>
      <c r="I232" s="26" t="s">
        <v>19</v>
      </c>
      <c r="J232" s="45">
        <v>4574.62</v>
      </c>
      <c r="K232" s="45">
        <v>49.945099999999996</v>
      </c>
      <c r="L232" s="46">
        <f t="shared" si="27"/>
        <v>91.592969080049897</v>
      </c>
      <c r="M232" s="26">
        <v>60</v>
      </c>
      <c r="N232" s="37">
        <f t="shared" si="28"/>
        <v>76.24366666666667</v>
      </c>
      <c r="O232" s="38">
        <f t="shared" ca="1" si="24"/>
        <v>82</v>
      </c>
      <c r="P232" s="36">
        <f t="shared" ca="1" si="23"/>
        <v>-1677.3606666666674</v>
      </c>
      <c r="Q232" s="36">
        <f t="shared" ca="1" si="22"/>
        <v>1</v>
      </c>
      <c r="R232" s="49" t="s">
        <v>3292</v>
      </c>
    </row>
    <row r="233" spans="2:18" s="5" customFormat="1" ht="47.25" customHeight="1" x14ac:dyDescent="0.25">
      <c r="B233" s="27">
        <v>43392</v>
      </c>
      <c r="C233" s="24" t="s">
        <v>2349</v>
      </c>
      <c r="D233" s="26" t="s">
        <v>3288</v>
      </c>
      <c r="E233" s="26" t="s">
        <v>3350</v>
      </c>
      <c r="F233" s="26" t="s">
        <v>3290</v>
      </c>
      <c r="G233" s="29" t="s">
        <v>28</v>
      </c>
      <c r="H233" s="26" t="s">
        <v>3308</v>
      </c>
      <c r="I233" s="26" t="s">
        <v>19</v>
      </c>
      <c r="J233" s="45">
        <v>4574.62</v>
      </c>
      <c r="K233" s="45">
        <v>49.945099999999996</v>
      </c>
      <c r="L233" s="46">
        <f t="shared" si="27"/>
        <v>91.592969080049897</v>
      </c>
      <c r="M233" s="26">
        <v>60</v>
      </c>
      <c r="N233" s="37">
        <f t="shared" si="28"/>
        <v>76.24366666666667</v>
      </c>
      <c r="O233" s="38">
        <f t="shared" ca="1" si="24"/>
        <v>82</v>
      </c>
      <c r="P233" s="36">
        <f t="shared" ca="1" si="23"/>
        <v>-1677.3606666666674</v>
      </c>
      <c r="Q233" s="36">
        <f t="shared" ca="1" si="22"/>
        <v>1</v>
      </c>
      <c r="R233" s="49" t="s">
        <v>3292</v>
      </c>
    </row>
    <row r="234" spans="2:18" s="5" customFormat="1" ht="45" customHeight="1" x14ac:dyDescent="0.25">
      <c r="B234" s="28">
        <v>43392</v>
      </c>
      <c r="C234" s="24" t="s">
        <v>2349</v>
      </c>
      <c r="D234" s="29" t="s">
        <v>3288</v>
      </c>
      <c r="E234" s="29" t="s">
        <v>3351</v>
      </c>
      <c r="F234" s="29" t="s">
        <v>3290</v>
      </c>
      <c r="G234" s="29" t="s">
        <v>28</v>
      </c>
      <c r="H234" s="29" t="s">
        <v>3308</v>
      </c>
      <c r="I234" s="29" t="s">
        <v>19</v>
      </c>
      <c r="J234" s="47">
        <v>4574.68</v>
      </c>
      <c r="K234" s="47">
        <v>49.945099999999996</v>
      </c>
      <c r="L234" s="48">
        <f t="shared" si="27"/>
        <v>91.594170399098218</v>
      </c>
      <c r="M234" s="29">
        <v>60</v>
      </c>
      <c r="N234" s="41">
        <f t="shared" si="28"/>
        <v>76.244666666666674</v>
      </c>
      <c r="O234" s="42">
        <f t="shared" ca="1" si="24"/>
        <v>82</v>
      </c>
      <c r="P234" s="36">
        <f t="shared" ca="1" si="23"/>
        <v>-1677.3826666666673</v>
      </c>
      <c r="Q234" s="36">
        <f t="shared" ca="1" si="22"/>
        <v>1</v>
      </c>
      <c r="R234" s="533" t="s">
        <v>3292</v>
      </c>
    </row>
    <row r="235" spans="2:18" s="5" customFormat="1" ht="63" customHeight="1" x14ac:dyDescent="0.25">
      <c r="B235" s="27">
        <v>43392</v>
      </c>
      <c r="C235" s="24" t="s">
        <v>2349</v>
      </c>
      <c r="D235" s="26" t="s">
        <v>3288</v>
      </c>
      <c r="E235" s="26" t="s">
        <v>3352</v>
      </c>
      <c r="F235" s="26" t="s">
        <v>3353</v>
      </c>
      <c r="G235" s="29" t="s">
        <v>28</v>
      </c>
      <c r="H235" s="26" t="s">
        <v>3308</v>
      </c>
      <c r="I235" s="26" t="s">
        <v>19</v>
      </c>
      <c r="J235" s="45">
        <v>3560.43</v>
      </c>
      <c r="K235" s="45">
        <v>49.945099999999996</v>
      </c>
      <c r="L235" s="46">
        <f t="shared" si="27"/>
        <v>71.286872986539223</v>
      </c>
      <c r="M235" s="26">
        <v>60</v>
      </c>
      <c r="N235" s="37">
        <f t="shared" si="28"/>
        <v>59.340499999999999</v>
      </c>
      <c r="O235" s="38">
        <f t="shared" ca="1" si="24"/>
        <v>82</v>
      </c>
      <c r="P235" s="36">
        <f t="shared" ca="1" si="23"/>
        <v>-1305.4910000000004</v>
      </c>
      <c r="Q235" s="36">
        <f t="shared" ca="1" si="22"/>
        <v>1</v>
      </c>
      <c r="R235" s="49" t="s">
        <v>3292</v>
      </c>
    </row>
    <row r="236" spans="2:18" s="5" customFormat="1" ht="44.25" customHeight="1" x14ac:dyDescent="0.25">
      <c r="B236" s="27">
        <v>43392</v>
      </c>
      <c r="C236" s="24" t="s">
        <v>2349</v>
      </c>
      <c r="D236" s="26" t="s">
        <v>3288</v>
      </c>
      <c r="E236" s="26" t="s">
        <v>3356</v>
      </c>
      <c r="F236" s="26" t="s">
        <v>3313</v>
      </c>
      <c r="G236" s="29" t="s">
        <v>3354</v>
      </c>
      <c r="H236" s="26" t="s">
        <v>4391</v>
      </c>
      <c r="I236" s="26" t="s">
        <v>19</v>
      </c>
      <c r="J236" s="45">
        <f t="shared" ref="J236:J244" si="29">161424/18</f>
        <v>8968</v>
      </c>
      <c r="K236" s="45">
        <v>49.945099999999996</v>
      </c>
      <c r="L236" s="46">
        <f t="shared" ref="L236:L246" si="30">+J236/K236</f>
        <v>179.55715375482282</v>
      </c>
      <c r="M236" s="26">
        <v>60</v>
      </c>
      <c r="N236" s="37">
        <f t="shared" si="28"/>
        <v>149.46666666666667</v>
      </c>
      <c r="O236" s="38">
        <f t="shared" ca="1" si="24"/>
        <v>82</v>
      </c>
      <c r="P236" s="36">
        <f t="shared" ca="1" si="23"/>
        <v>-3288.2666666666664</v>
      </c>
      <c r="Q236" s="36">
        <f t="shared" ref="Q236:Q285" ca="1" si="31">IF(P236&lt;1,1,P236)</f>
        <v>1</v>
      </c>
      <c r="R236" s="49" t="s">
        <v>3292</v>
      </c>
    </row>
    <row r="237" spans="2:18" s="5" customFormat="1" ht="46.9" customHeight="1" x14ac:dyDescent="0.25">
      <c r="B237" s="27">
        <v>43392</v>
      </c>
      <c r="C237" s="24" t="s">
        <v>2349</v>
      </c>
      <c r="D237" s="26" t="s">
        <v>3288</v>
      </c>
      <c r="E237" s="26" t="s">
        <v>3357</v>
      </c>
      <c r="F237" s="26" t="s">
        <v>3313</v>
      </c>
      <c r="G237" s="29" t="s">
        <v>3354</v>
      </c>
      <c r="H237" s="26" t="s">
        <v>3358</v>
      </c>
      <c r="I237" s="26" t="s">
        <v>19</v>
      </c>
      <c r="J237" s="45">
        <f t="shared" si="29"/>
        <v>8968</v>
      </c>
      <c r="K237" s="45">
        <v>49.945099999999996</v>
      </c>
      <c r="L237" s="46">
        <f t="shared" si="30"/>
        <v>179.55715375482282</v>
      </c>
      <c r="M237" s="26">
        <v>60</v>
      </c>
      <c r="N237" s="37">
        <f t="shared" si="28"/>
        <v>149.46666666666667</v>
      </c>
      <c r="O237" s="38">
        <f t="shared" ca="1" si="24"/>
        <v>82</v>
      </c>
      <c r="P237" s="36">
        <f t="shared" ca="1" si="23"/>
        <v>-3288.2666666666664</v>
      </c>
      <c r="Q237" s="36">
        <f t="shared" ca="1" si="31"/>
        <v>1</v>
      </c>
      <c r="R237" s="49" t="s">
        <v>3292</v>
      </c>
    </row>
    <row r="238" spans="2:18" s="5" customFormat="1" ht="40.5" customHeight="1" x14ac:dyDescent="0.25">
      <c r="B238" s="27">
        <v>43392</v>
      </c>
      <c r="C238" s="24" t="s">
        <v>2349</v>
      </c>
      <c r="D238" s="26" t="s">
        <v>3288</v>
      </c>
      <c r="E238" s="26" t="s">
        <v>3359</v>
      </c>
      <c r="F238" s="26" t="s">
        <v>3313</v>
      </c>
      <c r="G238" s="29" t="s">
        <v>3354</v>
      </c>
      <c r="H238" s="26" t="s">
        <v>3308</v>
      </c>
      <c r="I238" s="26" t="s">
        <v>19</v>
      </c>
      <c r="J238" s="45">
        <f t="shared" si="29"/>
        <v>8968</v>
      </c>
      <c r="K238" s="45">
        <v>49.945099999999996</v>
      </c>
      <c r="L238" s="46">
        <f t="shared" si="30"/>
        <v>179.55715375482282</v>
      </c>
      <c r="M238" s="26">
        <v>60</v>
      </c>
      <c r="N238" s="37">
        <f t="shared" si="28"/>
        <v>149.46666666666667</v>
      </c>
      <c r="O238" s="38">
        <f t="shared" ca="1" si="24"/>
        <v>82</v>
      </c>
      <c r="P238" s="36">
        <f t="shared" ca="1" si="23"/>
        <v>-3288.2666666666664</v>
      </c>
      <c r="Q238" s="36">
        <f t="shared" ca="1" si="31"/>
        <v>1</v>
      </c>
      <c r="R238" s="49" t="s">
        <v>3292</v>
      </c>
    </row>
    <row r="239" spans="2:18" s="5" customFormat="1" ht="38.25" customHeight="1" x14ac:dyDescent="0.25">
      <c r="B239" s="27">
        <v>43392</v>
      </c>
      <c r="C239" s="24" t="s">
        <v>2349</v>
      </c>
      <c r="D239" s="26" t="s">
        <v>3288</v>
      </c>
      <c r="E239" s="26" t="s">
        <v>3360</v>
      </c>
      <c r="F239" s="26" t="s">
        <v>3313</v>
      </c>
      <c r="G239" s="29" t="s">
        <v>3354</v>
      </c>
      <c r="H239" s="26" t="s">
        <v>3308</v>
      </c>
      <c r="I239" s="26" t="s">
        <v>19</v>
      </c>
      <c r="J239" s="45">
        <f t="shared" si="29"/>
        <v>8968</v>
      </c>
      <c r="K239" s="45">
        <v>49.945099999999996</v>
      </c>
      <c r="L239" s="46">
        <f t="shared" si="30"/>
        <v>179.55715375482282</v>
      </c>
      <c r="M239" s="26">
        <v>60</v>
      </c>
      <c r="N239" s="37">
        <f t="shared" si="28"/>
        <v>149.46666666666667</v>
      </c>
      <c r="O239" s="38">
        <f t="shared" ca="1" si="24"/>
        <v>82</v>
      </c>
      <c r="P239" s="36">
        <f t="shared" ca="1" si="23"/>
        <v>-3288.2666666666664</v>
      </c>
      <c r="Q239" s="36">
        <f t="shared" ca="1" si="31"/>
        <v>1</v>
      </c>
      <c r="R239" s="49" t="s">
        <v>3292</v>
      </c>
    </row>
    <row r="240" spans="2:18" s="5" customFormat="1" ht="39" customHeight="1" x14ac:dyDescent="0.25">
      <c r="B240" s="27">
        <v>43392</v>
      </c>
      <c r="C240" s="24" t="s">
        <v>2349</v>
      </c>
      <c r="D240" s="26" t="s">
        <v>3288</v>
      </c>
      <c r="E240" s="26" t="s">
        <v>3361</v>
      </c>
      <c r="F240" s="26" t="s">
        <v>3313</v>
      </c>
      <c r="G240" s="29" t="s">
        <v>3354</v>
      </c>
      <c r="H240" s="26" t="s">
        <v>3308</v>
      </c>
      <c r="I240" s="26" t="s">
        <v>19</v>
      </c>
      <c r="J240" s="45">
        <f t="shared" si="29"/>
        <v>8968</v>
      </c>
      <c r="K240" s="45">
        <v>49.945099999999996</v>
      </c>
      <c r="L240" s="46">
        <f t="shared" si="30"/>
        <v>179.55715375482282</v>
      </c>
      <c r="M240" s="26">
        <v>60</v>
      </c>
      <c r="N240" s="37">
        <f t="shared" si="28"/>
        <v>149.46666666666667</v>
      </c>
      <c r="O240" s="38">
        <f t="shared" ca="1" si="24"/>
        <v>82</v>
      </c>
      <c r="P240" s="36">
        <f t="shared" ca="1" si="23"/>
        <v>-3288.2666666666664</v>
      </c>
      <c r="Q240" s="36">
        <f t="shared" ca="1" si="31"/>
        <v>1</v>
      </c>
      <c r="R240" s="49" t="s">
        <v>3292</v>
      </c>
    </row>
    <row r="241" spans="2:18" s="5" customFormat="1" ht="50.25" customHeight="1" x14ac:dyDescent="0.25">
      <c r="B241" s="27">
        <v>43392</v>
      </c>
      <c r="C241" s="24" t="s">
        <v>2349</v>
      </c>
      <c r="D241" s="26" t="s">
        <v>3288</v>
      </c>
      <c r="E241" s="26" t="s">
        <v>3362</v>
      </c>
      <c r="F241" s="26" t="s">
        <v>3313</v>
      </c>
      <c r="G241" s="29" t="s">
        <v>3354</v>
      </c>
      <c r="H241" s="26" t="s">
        <v>3308</v>
      </c>
      <c r="I241" s="26" t="s">
        <v>19</v>
      </c>
      <c r="J241" s="45">
        <f t="shared" si="29"/>
        <v>8968</v>
      </c>
      <c r="K241" s="45">
        <v>49.945099999999996</v>
      </c>
      <c r="L241" s="46">
        <f t="shared" si="30"/>
        <v>179.55715375482282</v>
      </c>
      <c r="M241" s="26">
        <v>60</v>
      </c>
      <c r="N241" s="37">
        <f t="shared" si="28"/>
        <v>149.46666666666667</v>
      </c>
      <c r="O241" s="38">
        <f t="shared" ca="1" si="24"/>
        <v>82</v>
      </c>
      <c r="P241" s="36">
        <f t="shared" ca="1" si="23"/>
        <v>-3288.2666666666664</v>
      </c>
      <c r="Q241" s="36">
        <f t="shared" ca="1" si="31"/>
        <v>1</v>
      </c>
      <c r="R241" s="49" t="s">
        <v>3292</v>
      </c>
    </row>
    <row r="242" spans="2:18" s="5" customFormat="1" ht="39" customHeight="1" x14ac:dyDescent="0.25">
      <c r="B242" s="27">
        <v>43392</v>
      </c>
      <c r="C242" s="24" t="s">
        <v>2349</v>
      </c>
      <c r="D242" s="26" t="s">
        <v>3288</v>
      </c>
      <c r="E242" s="26" t="s">
        <v>3363</v>
      </c>
      <c r="F242" s="26" t="s">
        <v>3313</v>
      </c>
      <c r="G242" s="29" t="s">
        <v>3354</v>
      </c>
      <c r="H242" s="26" t="s">
        <v>3308</v>
      </c>
      <c r="I242" s="26" t="s">
        <v>19</v>
      </c>
      <c r="J242" s="45">
        <f t="shared" si="29"/>
        <v>8968</v>
      </c>
      <c r="K242" s="45">
        <v>49.945099999999996</v>
      </c>
      <c r="L242" s="46">
        <f t="shared" si="30"/>
        <v>179.55715375482282</v>
      </c>
      <c r="M242" s="26">
        <v>60</v>
      </c>
      <c r="N242" s="37">
        <f t="shared" si="28"/>
        <v>149.46666666666667</v>
      </c>
      <c r="O242" s="38">
        <f t="shared" ca="1" si="24"/>
        <v>82</v>
      </c>
      <c r="P242" s="36">
        <f t="shared" ca="1" si="23"/>
        <v>-3288.2666666666664</v>
      </c>
      <c r="Q242" s="36">
        <f t="shared" ca="1" si="31"/>
        <v>1</v>
      </c>
      <c r="R242" s="49" t="s">
        <v>3292</v>
      </c>
    </row>
    <row r="243" spans="2:18" s="5" customFormat="1" ht="38.25" x14ac:dyDescent="0.25">
      <c r="B243" s="27">
        <v>43392</v>
      </c>
      <c r="C243" s="24" t="s">
        <v>2349</v>
      </c>
      <c r="D243" s="26" t="s">
        <v>3288</v>
      </c>
      <c r="E243" s="26" t="s">
        <v>3364</v>
      </c>
      <c r="F243" s="26" t="s">
        <v>3313</v>
      </c>
      <c r="G243" s="29" t="s">
        <v>3354</v>
      </c>
      <c r="H243" s="26" t="s">
        <v>3308</v>
      </c>
      <c r="I243" s="26" t="s">
        <v>19</v>
      </c>
      <c r="J243" s="45">
        <f t="shared" si="29"/>
        <v>8968</v>
      </c>
      <c r="K243" s="45">
        <v>49.945099999999996</v>
      </c>
      <c r="L243" s="46">
        <f t="shared" si="30"/>
        <v>179.55715375482282</v>
      </c>
      <c r="M243" s="26">
        <v>60</v>
      </c>
      <c r="N243" s="37">
        <f t="shared" si="28"/>
        <v>149.46666666666667</v>
      </c>
      <c r="O243" s="38">
        <f t="shared" ca="1" si="24"/>
        <v>82</v>
      </c>
      <c r="P243" s="36">
        <f t="shared" ca="1" si="23"/>
        <v>-3288.2666666666664</v>
      </c>
      <c r="Q243" s="36">
        <f t="shared" ca="1" si="31"/>
        <v>1</v>
      </c>
      <c r="R243" s="49" t="s">
        <v>3292</v>
      </c>
    </row>
    <row r="244" spans="2:18" s="5" customFormat="1" ht="38.25" x14ac:dyDescent="0.25">
      <c r="B244" s="27">
        <v>43392</v>
      </c>
      <c r="C244" s="24" t="s">
        <v>2349</v>
      </c>
      <c r="D244" s="26" t="s">
        <v>3288</v>
      </c>
      <c r="E244" s="26" t="s">
        <v>3365</v>
      </c>
      <c r="F244" s="26" t="s">
        <v>3313</v>
      </c>
      <c r="G244" s="29" t="s">
        <v>3354</v>
      </c>
      <c r="H244" s="26" t="s">
        <v>3308</v>
      </c>
      <c r="I244" s="26" t="s">
        <v>19</v>
      </c>
      <c r="J244" s="45">
        <f t="shared" si="29"/>
        <v>8968</v>
      </c>
      <c r="K244" s="45">
        <v>49.945099999999996</v>
      </c>
      <c r="L244" s="46">
        <f t="shared" si="30"/>
        <v>179.55715375482282</v>
      </c>
      <c r="M244" s="26">
        <v>60</v>
      </c>
      <c r="N244" s="37">
        <f t="shared" si="28"/>
        <v>149.46666666666667</v>
      </c>
      <c r="O244" s="38">
        <f t="shared" ca="1" si="24"/>
        <v>82</v>
      </c>
      <c r="P244" s="36">
        <f t="shared" ca="1" si="23"/>
        <v>-3288.2666666666664</v>
      </c>
      <c r="Q244" s="36">
        <f t="shared" ca="1" si="31"/>
        <v>1</v>
      </c>
      <c r="R244" s="49" t="s">
        <v>3292</v>
      </c>
    </row>
    <row r="245" spans="2:18" s="5" customFormat="1" ht="38.25" x14ac:dyDescent="0.25">
      <c r="B245" s="27">
        <v>43392</v>
      </c>
      <c r="C245" s="24" t="s">
        <v>2349</v>
      </c>
      <c r="D245" s="26" t="s">
        <v>3288</v>
      </c>
      <c r="E245" s="26" t="s">
        <v>3366</v>
      </c>
      <c r="F245" s="26" t="s">
        <v>3367</v>
      </c>
      <c r="G245" s="29" t="s">
        <v>28</v>
      </c>
      <c r="H245" s="26" t="s">
        <v>3308</v>
      </c>
      <c r="I245" s="26" t="s">
        <v>19</v>
      </c>
      <c r="J245" s="45">
        <v>116820</v>
      </c>
      <c r="K245" s="45">
        <v>49.945099999999996</v>
      </c>
      <c r="L245" s="46">
        <f t="shared" si="30"/>
        <v>2338.9681870694026</v>
      </c>
      <c r="M245" s="26">
        <v>60</v>
      </c>
      <c r="N245" s="37">
        <f t="shared" si="28"/>
        <v>1947</v>
      </c>
      <c r="O245" s="38">
        <f t="shared" ca="1" si="24"/>
        <v>82</v>
      </c>
      <c r="P245" s="36">
        <f t="shared" ca="1" si="23"/>
        <v>-42834</v>
      </c>
      <c r="Q245" s="36">
        <f t="shared" ca="1" si="31"/>
        <v>1</v>
      </c>
      <c r="R245" s="49" t="s">
        <v>3292</v>
      </c>
    </row>
    <row r="246" spans="2:18" s="5" customFormat="1" ht="60.75" customHeight="1" x14ac:dyDescent="0.25">
      <c r="B246" s="27">
        <v>43392</v>
      </c>
      <c r="C246" s="24" t="s">
        <v>2349</v>
      </c>
      <c r="D246" s="26" t="s">
        <v>3288</v>
      </c>
      <c r="E246" s="26" t="s">
        <v>3368</v>
      </c>
      <c r="F246" s="26" t="s">
        <v>3294</v>
      </c>
      <c r="G246" s="29" t="s">
        <v>28</v>
      </c>
      <c r="H246" s="26" t="s">
        <v>3347</v>
      </c>
      <c r="I246" s="26" t="s">
        <v>19</v>
      </c>
      <c r="J246" s="45">
        <v>4366</v>
      </c>
      <c r="K246" s="45">
        <v>49.945099999999996</v>
      </c>
      <c r="L246" s="46">
        <f t="shared" si="30"/>
        <v>87.415982749058472</v>
      </c>
      <c r="M246" s="26">
        <v>60</v>
      </c>
      <c r="N246" s="37">
        <f t="shared" si="28"/>
        <v>72.766666666666666</v>
      </c>
      <c r="O246" s="38">
        <f t="shared" ca="1" si="24"/>
        <v>82</v>
      </c>
      <c r="P246" s="36">
        <f t="shared" ca="1" si="23"/>
        <v>-1600.8666666666668</v>
      </c>
      <c r="Q246" s="36">
        <f t="shared" ca="1" si="31"/>
        <v>1</v>
      </c>
      <c r="R246" s="49" t="s">
        <v>3292</v>
      </c>
    </row>
    <row r="247" spans="2:18" s="5" customFormat="1" ht="38.25" x14ac:dyDescent="0.25">
      <c r="B247" s="27">
        <v>43392</v>
      </c>
      <c r="C247" s="24" t="s">
        <v>2349</v>
      </c>
      <c r="D247" s="26" t="s">
        <v>3288</v>
      </c>
      <c r="E247" s="26" t="s">
        <v>3369</v>
      </c>
      <c r="F247" s="26" t="s">
        <v>3294</v>
      </c>
      <c r="G247" s="29" t="s">
        <v>28</v>
      </c>
      <c r="H247" s="26" t="s">
        <v>3347</v>
      </c>
      <c r="I247" s="26" t="s">
        <v>19</v>
      </c>
      <c r="J247" s="45">
        <v>4366</v>
      </c>
      <c r="K247" s="45">
        <v>49.945099999999996</v>
      </c>
      <c r="L247" s="46">
        <f t="shared" ref="L247:L295" si="32">+J247/K247</f>
        <v>87.415982749058472</v>
      </c>
      <c r="M247" s="26">
        <v>60</v>
      </c>
      <c r="N247" s="37">
        <f t="shared" si="28"/>
        <v>72.766666666666666</v>
      </c>
      <c r="O247" s="38">
        <f t="shared" ca="1" si="24"/>
        <v>82</v>
      </c>
      <c r="P247" s="36">
        <f t="shared" ca="1" si="23"/>
        <v>-1600.8666666666668</v>
      </c>
      <c r="Q247" s="36">
        <f t="shared" ca="1" si="31"/>
        <v>1</v>
      </c>
      <c r="R247" s="49" t="s">
        <v>3292</v>
      </c>
    </row>
    <row r="248" spans="2:18" s="5" customFormat="1" ht="63" customHeight="1" x14ac:dyDescent="0.25">
      <c r="B248" s="27">
        <v>43392</v>
      </c>
      <c r="C248" s="24" t="s">
        <v>2349</v>
      </c>
      <c r="D248" s="26" t="s">
        <v>3288</v>
      </c>
      <c r="E248" s="26" t="s">
        <v>3370</v>
      </c>
      <c r="F248" s="26" t="s">
        <v>3294</v>
      </c>
      <c r="G248" s="29" t="s">
        <v>28</v>
      </c>
      <c r="H248" s="26" t="s">
        <v>3308</v>
      </c>
      <c r="I248" s="26" t="s">
        <v>19</v>
      </c>
      <c r="J248" s="45">
        <v>4366</v>
      </c>
      <c r="K248" s="45">
        <v>49.945099999999996</v>
      </c>
      <c r="L248" s="46">
        <f t="shared" si="32"/>
        <v>87.415982749058472</v>
      </c>
      <c r="M248" s="26">
        <v>60</v>
      </c>
      <c r="N248" s="37">
        <f t="shared" si="28"/>
        <v>72.766666666666666</v>
      </c>
      <c r="O248" s="38">
        <f t="shared" ca="1" si="24"/>
        <v>82</v>
      </c>
      <c r="P248" s="36">
        <f t="shared" ca="1" si="23"/>
        <v>-1600.8666666666668</v>
      </c>
      <c r="Q248" s="36">
        <f t="shared" ca="1" si="31"/>
        <v>1</v>
      </c>
      <c r="R248" s="49" t="s">
        <v>3292</v>
      </c>
    </row>
    <row r="249" spans="2:18" s="5" customFormat="1" ht="38.25" x14ac:dyDescent="0.25">
      <c r="B249" s="27">
        <v>43392</v>
      </c>
      <c r="C249" s="24" t="s">
        <v>2349</v>
      </c>
      <c r="D249" s="26" t="s">
        <v>3288</v>
      </c>
      <c r="E249" s="26" t="s">
        <v>3371</v>
      </c>
      <c r="F249" s="26" t="s">
        <v>3294</v>
      </c>
      <c r="G249" s="29" t="s">
        <v>28</v>
      </c>
      <c r="H249" s="26" t="s">
        <v>3308</v>
      </c>
      <c r="I249" s="26" t="s">
        <v>19</v>
      </c>
      <c r="J249" s="45">
        <v>4366</v>
      </c>
      <c r="K249" s="45">
        <v>49.945099999999996</v>
      </c>
      <c r="L249" s="46">
        <f t="shared" si="32"/>
        <v>87.415982749058472</v>
      </c>
      <c r="M249" s="26">
        <v>60</v>
      </c>
      <c r="N249" s="37">
        <f t="shared" si="28"/>
        <v>72.766666666666666</v>
      </c>
      <c r="O249" s="38">
        <f t="shared" ca="1" si="24"/>
        <v>82</v>
      </c>
      <c r="P249" s="36">
        <f t="shared" ca="1" si="23"/>
        <v>-1600.8666666666668</v>
      </c>
      <c r="Q249" s="36">
        <f t="shared" ca="1" si="31"/>
        <v>1</v>
      </c>
      <c r="R249" s="49" t="s">
        <v>3292</v>
      </c>
    </row>
    <row r="250" spans="2:18" s="5" customFormat="1" ht="38.25" x14ac:dyDescent="0.25">
      <c r="B250" s="27">
        <v>43392</v>
      </c>
      <c r="C250" s="24" t="s">
        <v>2349</v>
      </c>
      <c r="D250" s="26" t="s">
        <v>3288</v>
      </c>
      <c r="E250" s="26" t="s">
        <v>3372</v>
      </c>
      <c r="F250" s="26" t="s">
        <v>3294</v>
      </c>
      <c r="G250" s="29" t="s">
        <v>28</v>
      </c>
      <c r="H250" s="26" t="s">
        <v>3308</v>
      </c>
      <c r="I250" s="26" t="s">
        <v>19</v>
      </c>
      <c r="J250" s="45">
        <v>4366</v>
      </c>
      <c r="K250" s="45">
        <v>49.945099999999996</v>
      </c>
      <c r="L250" s="46">
        <f t="shared" si="32"/>
        <v>87.415982749058472</v>
      </c>
      <c r="M250" s="26">
        <v>60</v>
      </c>
      <c r="N250" s="37">
        <f t="shared" si="28"/>
        <v>72.766666666666666</v>
      </c>
      <c r="O250" s="38">
        <f t="shared" ref="O250:O295" ca="1" si="33">IF(B250&lt;&gt;0,(ROUND((NOW()-B250)/30,0)),0)</f>
        <v>82</v>
      </c>
      <c r="P250" s="36">
        <f t="shared" ca="1" si="23"/>
        <v>-1600.8666666666668</v>
      </c>
      <c r="Q250" s="36">
        <f t="shared" ca="1" si="31"/>
        <v>1</v>
      </c>
      <c r="R250" s="49" t="s">
        <v>3292</v>
      </c>
    </row>
    <row r="251" spans="2:18" s="5" customFormat="1" ht="39" customHeight="1" x14ac:dyDescent="0.25">
      <c r="B251" s="27">
        <v>43392</v>
      </c>
      <c r="C251" s="24" t="s">
        <v>2349</v>
      </c>
      <c r="D251" s="26" t="s">
        <v>3288</v>
      </c>
      <c r="E251" s="26" t="s">
        <v>3373</v>
      </c>
      <c r="F251" s="26" t="s">
        <v>3294</v>
      </c>
      <c r="G251" s="29" t="s">
        <v>28</v>
      </c>
      <c r="H251" s="26" t="s">
        <v>3308</v>
      </c>
      <c r="I251" s="26" t="s">
        <v>19</v>
      </c>
      <c r="J251" s="45">
        <v>4366</v>
      </c>
      <c r="K251" s="45">
        <v>49.945099999999996</v>
      </c>
      <c r="L251" s="46">
        <f t="shared" si="32"/>
        <v>87.415982749058472</v>
      </c>
      <c r="M251" s="26">
        <v>60</v>
      </c>
      <c r="N251" s="37">
        <f t="shared" si="28"/>
        <v>72.766666666666666</v>
      </c>
      <c r="O251" s="38">
        <f t="shared" ca="1" si="33"/>
        <v>82</v>
      </c>
      <c r="P251" s="36">
        <f t="shared" ca="1" si="23"/>
        <v>-1600.8666666666668</v>
      </c>
      <c r="Q251" s="36">
        <f t="shared" ca="1" si="31"/>
        <v>1</v>
      </c>
      <c r="R251" s="49" t="s">
        <v>3292</v>
      </c>
    </row>
    <row r="252" spans="2:18" s="5" customFormat="1" ht="38.25" x14ac:dyDescent="0.25">
      <c r="B252" s="27">
        <v>43392</v>
      </c>
      <c r="C252" s="24" t="s">
        <v>2349</v>
      </c>
      <c r="D252" s="26" t="s">
        <v>3288</v>
      </c>
      <c r="E252" s="26" t="s">
        <v>3374</v>
      </c>
      <c r="F252" s="26" t="s">
        <v>3294</v>
      </c>
      <c r="G252" s="29" t="s">
        <v>28</v>
      </c>
      <c r="H252" s="26" t="s">
        <v>3308</v>
      </c>
      <c r="I252" s="26" t="s">
        <v>19</v>
      </c>
      <c r="J252" s="45">
        <v>4366</v>
      </c>
      <c r="K252" s="45">
        <v>49.945099999999996</v>
      </c>
      <c r="L252" s="46">
        <f t="shared" si="32"/>
        <v>87.415982749058472</v>
      </c>
      <c r="M252" s="26">
        <v>60</v>
      </c>
      <c r="N252" s="37">
        <f t="shared" si="28"/>
        <v>72.766666666666666</v>
      </c>
      <c r="O252" s="38">
        <f t="shared" ca="1" si="33"/>
        <v>82</v>
      </c>
      <c r="P252" s="36">
        <f t="shared" ca="1" si="23"/>
        <v>-1600.8666666666668</v>
      </c>
      <c r="Q252" s="36">
        <f t="shared" ca="1" si="31"/>
        <v>1</v>
      </c>
      <c r="R252" s="49" t="s">
        <v>3292</v>
      </c>
    </row>
    <row r="253" spans="2:18" s="5" customFormat="1" ht="38.25" x14ac:dyDescent="0.25">
      <c r="B253" s="27">
        <v>43392</v>
      </c>
      <c r="C253" s="24" t="s">
        <v>2349</v>
      </c>
      <c r="D253" s="26" t="s">
        <v>3288</v>
      </c>
      <c r="E253" s="26" t="s">
        <v>3375</v>
      </c>
      <c r="F253" s="26" t="s">
        <v>3294</v>
      </c>
      <c r="G253" s="29" t="s">
        <v>28</v>
      </c>
      <c r="H253" s="26" t="s">
        <v>3308</v>
      </c>
      <c r="I253" s="26" t="s">
        <v>19</v>
      </c>
      <c r="J253" s="45">
        <v>4366</v>
      </c>
      <c r="K253" s="45">
        <v>49.945099999999996</v>
      </c>
      <c r="L253" s="46">
        <f t="shared" si="32"/>
        <v>87.415982749058472</v>
      </c>
      <c r="M253" s="26">
        <v>60</v>
      </c>
      <c r="N253" s="37">
        <f t="shared" si="28"/>
        <v>72.766666666666666</v>
      </c>
      <c r="O253" s="38">
        <f t="shared" ca="1" si="33"/>
        <v>82</v>
      </c>
      <c r="P253" s="36">
        <f t="shared" ca="1" si="23"/>
        <v>-1600.8666666666668</v>
      </c>
      <c r="Q253" s="36">
        <f t="shared" ca="1" si="31"/>
        <v>1</v>
      </c>
      <c r="R253" s="49" t="s">
        <v>3292</v>
      </c>
    </row>
    <row r="254" spans="2:18" s="5" customFormat="1" ht="66" customHeight="1" x14ac:dyDescent="0.25">
      <c r="B254" s="27">
        <v>43392</v>
      </c>
      <c r="C254" s="24" t="s">
        <v>2349</v>
      </c>
      <c r="D254" s="26" t="s">
        <v>3288</v>
      </c>
      <c r="E254" s="26" t="s">
        <v>3376</v>
      </c>
      <c r="F254" s="26" t="s">
        <v>3294</v>
      </c>
      <c r="G254" s="29" t="s">
        <v>28</v>
      </c>
      <c r="H254" s="26" t="s">
        <v>3308</v>
      </c>
      <c r="I254" s="26" t="s">
        <v>19</v>
      </c>
      <c r="J254" s="45">
        <v>4366</v>
      </c>
      <c r="K254" s="45">
        <v>49.945099999999996</v>
      </c>
      <c r="L254" s="46">
        <f t="shared" si="32"/>
        <v>87.415982749058472</v>
      </c>
      <c r="M254" s="26">
        <v>60</v>
      </c>
      <c r="N254" s="37">
        <f t="shared" si="28"/>
        <v>72.766666666666666</v>
      </c>
      <c r="O254" s="38">
        <f t="shared" ca="1" si="33"/>
        <v>82</v>
      </c>
      <c r="P254" s="36">
        <f t="shared" ca="1" si="23"/>
        <v>-1600.8666666666668</v>
      </c>
      <c r="Q254" s="36">
        <f t="shared" ca="1" si="31"/>
        <v>1</v>
      </c>
      <c r="R254" s="49" t="s">
        <v>3292</v>
      </c>
    </row>
    <row r="255" spans="2:18" s="5" customFormat="1" ht="65.25" customHeight="1" x14ac:dyDescent="0.25">
      <c r="B255" s="27">
        <v>43392</v>
      </c>
      <c r="C255" s="24" t="s">
        <v>2349</v>
      </c>
      <c r="D255" s="26" t="s">
        <v>3288</v>
      </c>
      <c r="E255" s="26" t="s">
        <v>3377</v>
      </c>
      <c r="F255" s="26" t="s">
        <v>3294</v>
      </c>
      <c r="G255" s="29" t="s">
        <v>28</v>
      </c>
      <c r="H255" s="26" t="s">
        <v>3308</v>
      </c>
      <c r="I255" s="26" t="s">
        <v>19</v>
      </c>
      <c r="J255" s="45">
        <v>4366</v>
      </c>
      <c r="K255" s="45">
        <v>49.945099999999996</v>
      </c>
      <c r="L255" s="46">
        <f t="shared" si="32"/>
        <v>87.415982749058472</v>
      </c>
      <c r="M255" s="26">
        <v>60</v>
      </c>
      <c r="N255" s="37">
        <f t="shared" si="28"/>
        <v>72.766666666666666</v>
      </c>
      <c r="O255" s="38">
        <f t="shared" ca="1" si="33"/>
        <v>82</v>
      </c>
      <c r="P255" s="36">
        <f t="shared" ca="1" si="23"/>
        <v>-1600.8666666666668</v>
      </c>
      <c r="Q255" s="36">
        <f t="shared" ca="1" si="31"/>
        <v>1</v>
      </c>
      <c r="R255" s="49" t="s">
        <v>3292</v>
      </c>
    </row>
    <row r="256" spans="2:18" s="5" customFormat="1" ht="53.25" customHeight="1" x14ac:dyDescent="0.25">
      <c r="B256" s="27">
        <v>43392</v>
      </c>
      <c r="C256" s="24" t="s">
        <v>2349</v>
      </c>
      <c r="D256" s="26" t="s">
        <v>3380</v>
      </c>
      <c r="E256" s="26" t="s">
        <v>3381</v>
      </c>
      <c r="F256" s="26" t="s">
        <v>3382</v>
      </c>
      <c r="G256" s="29" t="s">
        <v>3383</v>
      </c>
      <c r="H256" s="26" t="s">
        <v>3384</v>
      </c>
      <c r="I256" s="26" t="s">
        <v>19</v>
      </c>
      <c r="J256" s="45">
        <f>10957.48/2</f>
        <v>5478.74</v>
      </c>
      <c r="K256" s="45">
        <v>49.945099999999996</v>
      </c>
      <c r="L256" s="46">
        <f t="shared" si="32"/>
        <v>109.69524537942661</v>
      </c>
      <c r="M256" s="26">
        <v>60</v>
      </c>
      <c r="N256" s="37">
        <f t="shared" si="28"/>
        <v>91.312333333333328</v>
      </c>
      <c r="O256" s="38">
        <f t="shared" ca="1" si="33"/>
        <v>82</v>
      </c>
      <c r="P256" s="36">
        <f t="shared" ca="1" si="23"/>
        <v>-2008.8713333333335</v>
      </c>
      <c r="Q256" s="36">
        <f t="shared" ca="1" si="31"/>
        <v>1</v>
      </c>
      <c r="R256" s="49" t="s">
        <v>3146</v>
      </c>
    </row>
    <row r="257" spans="2:18" s="5" customFormat="1" ht="57.75" customHeight="1" x14ac:dyDescent="0.25">
      <c r="B257" s="27">
        <v>43392</v>
      </c>
      <c r="C257" s="24" t="s">
        <v>2349</v>
      </c>
      <c r="D257" s="26" t="s">
        <v>3380</v>
      </c>
      <c r="E257" s="26" t="s">
        <v>3385</v>
      </c>
      <c r="F257" s="26" t="s">
        <v>3382</v>
      </c>
      <c r="G257" s="29" t="s">
        <v>3386</v>
      </c>
      <c r="H257" s="26" t="s">
        <v>3384</v>
      </c>
      <c r="I257" s="26" t="s">
        <v>19</v>
      </c>
      <c r="J257" s="45">
        <f>10957.48/2</f>
        <v>5478.74</v>
      </c>
      <c r="K257" s="45">
        <v>49.945099999999996</v>
      </c>
      <c r="L257" s="46">
        <f t="shared" si="32"/>
        <v>109.69524537942661</v>
      </c>
      <c r="M257" s="26">
        <v>60</v>
      </c>
      <c r="N257" s="37">
        <f t="shared" si="28"/>
        <v>91.312333333333328</v>
      </c>
      <c r="O257" s="38">
        <f t="shared" ca="1" si="33"/>
        <v>82</v>
      </c>
      <c r="P257" s="36">
        <f t="shared" ca="1" si="23"/>
        <v>-2008.8713333333335</v>
      </c>
      <c r="Q257" s="36">
        <f t="shared" ca="1" si="31"/>
        <v>1</v>
      </c>
      <c r="R257" s="49" t="s">
        <v>3146</v>
      </c>
    </row>
    <row r="258" spans="2:18" s="5" customFormat="1" ht="51" customHeight="1" x14ac:dyDescent="0.25">
      <c r="B258" s="27">
        <v>43392</v>
      </c>
      <c r="C258" s="24" t="s">
        <v>2349</v>
      </c>
      <c r="D258" s="26" t="s">
        <v>3387</v>
      </c>
      <c r="E258" s="26" t="s">
        <v>3388</v>
      </c>
      <c r="F258" s="26" t="s">
        <v>3322</v>
      </c>
      <c r="G258" s="29" t="s">
        <v>3389</v>
      </c>
      <c r="H258" s="26" t="s">
        <v>2878</v>
      </c>
      <c r="I258" s="26" t="s">
        <v>19</v>
      </c>
      <c r="J258" s="45">
        <v>25080</v>
      </c>
      <c r="K258" s="45">
        <v>49.806600000000003</v>
      </c>
      <c r="L258" s="46">
        <f t="shared" si="32"/>
        <v>503.54772259098189</v>
      </c>
      <c r="M258" s="26">
        <v>60</v>
      </c>
      <c r="N258" s="37">
        <f t="shared" si="28"/>
        <v>418</v>
      </c>
      <c r="O258" s="38">
        <f t="shared" ca="1" si="33"/>
        <v>82</v>
      </c>
      <c r="P258" s="36">
        <f t="shared" ca="1" si="23"/>
        <v>-9196</v>
      </c>
      <c r="Q258" s="36">
        <f t="shared" ca="1" si="31"/>
        <v>1</v>
      </c>
      <c r="R258" s="49" t="s">
        <v>2652</v>
      </c>
    </row>
    <row r="259" spans="2:18" s="5" customFormat="1" ht="56.25" customHeight="1" x14ac:dyDescent="0.25">
      <c r="B259" s="27">
        <v>43392</v>
      </c>
      <c r="C259" s="24" t="s">
        <v>2349</v>
      </c>
      <c r="D259" s="26" t="s">
        <v>3390</v>
      </c>
      <c r="E259" s="26" t="s">
        <v>3391</v>
      </c>
      <c r="F259" s="26" t="s">
        <v>3392</v>
      </c>
      <c r="G259" s="29" t="s">
        <v>3393</v>
      </c>
      <c r="H259" s="26" t="s">
        <v>3394</v>
      </c>
      <c r="I259" s="26" t="s">
        <v>19</v>
      </c>
      <c r="J259" s="45">
        <v>263261.25</v>
      </c>
      <c r="K259" s="45">
        <v>49.243600000000001</v>
      </c>
      <c r="L259" s="46">
        <f t="shared" si="32"/>
        <v>5346.1008131005856</v>
      </c>
      <c r="M259" s="26">
        <v>60</v>
      </c>
      <c r="N259" s="37">
        <f t="shared" si="28"/>
        <v>4387.6875</v>
      </c>
      <c r="O259" s="38">
        <f t="shared" ca="1" si="33"/>
        <v>82</v>
      </c>
      <c r="P259" s="36">
        <f t="shared" ca="1" si="23"/>
        <v>-96529.125</v>
      </c>
      <c r="Q259" s="36">
        <f t="shared" ca="1" si="31"/>
        <v>1</v>
      </c>
      <c r="R259" s="49" t="s">
        <v>3395</v>
      </c>
    </row>
    <row r="260" spans="2:18" s="5" customFormat="1" ht="58.5" customHeight="1" x14ac:dyDescent="0.25">
      <c r="B260" s="27">
        <v>43392</v>
      </c>
      <c r="C260" s="24" t="s">
        <v>2349</v>
      </c>
      <c r="D260" s="26" t="s">
        <v>3396</v>
      </c>
      <c r="E260" s="26" t="s">
        <v>3397</v>
      </c>
      <c r="F260" s="26" t="s">
        <v>3398</v>
      </c>
      <c r="G260" s="29" t="s">
        <v>3399</v>
      </c>
      <c r="H260" s="26" t="s">
        <v>3394</v>
      </c>
      <c r="I260" s="26" t="s">
        <v>19</v>
      </c>
      <c r="J260" s="45">
        <v>372241.56</v>
      </c>
      <c r="K260" s="45">
        <v>49.243600000000001</v>
      </c>
      <c r="L260" s="46">
        <f t="shared" si="32"/>
        <v>7559.1865744990209</v>
      </c>
      <c r="M260" s="26">
        <v>60</v>
      </c>
      <c r="N260" s="37">
        <f t="shared" si="28"/>
        <v>6204.0259999999998</v>
      </c>
      <c r="O260" s="38">
        <f t="shared" ca="1" si="33"/>
        <v>82</v>
      </c>
      <c r="P260" s="36">
        <f t="shared" ca="1" si="23"/>
        <v>-136488.57199999999</v>
      </c>
      <c r="Q260" s="36">
        <f t="shared" ca="1" si="31"/>
        <v>1</v>
      </c>
      <c r="R260" s="49" t="s">
        <v>3400</v>
      </c>
    </row>
    <row r="261" spans="2:18" s="5" customFormat="1" ht="39" customHeight="1" x14ac:dyDescent="0.25">
      <c r="B261" s="27">
        <v>43392</v>
      </c>
      <c r="C261" s="24" t="s">
        <v>2349</v>
      </c>
      <c r="D261" s="26" t="s">
        <v>3396</v>
      </c>
      <c r="E261" s="26" t="s">
        <v>3401</v>
      </c>
      <c r="F261" s="26" t="s">
        <v>3402</v>
      </c>
      <c r="G261" s="29" t="s">
        <v>28</v>
      </c>
      <c r="H261" s="26" t="s">
        <v>60</v>
      </c>
      <c r="I261" s="26" t="s">
        <v>19</v>
      </c>
      <c r="J261" s="45">
        <v>207659.63</v>
      </c>
      <c r="K261" s="45">
        <v>49.243600000000001</v>
      </c>
      <c r="L261" s="46">
        <f t="shared" si="32"/>
        <v>4216.9871820906674</v>
      </c>
      <c r="M261" s="26">
        <v>60</v>
      </c>
      <c r="N261" s="37">
        <f t="shared" ref="N261:N303" si="34">IF(AND(J261&lt;&gt;0,M261&lt;&gt;0),J261/M261,0)</f>
        <v>3460.9938333333334</v>
      </c>
      <c r="O261" s="38">
        <f t="shared" ca="1" si="33"/>
        <v>82</v>
      </c>
      <c r="P261" s="36">
        <f t="shared" ca="1" si="23"/>
        <v>-76141.864333333331</v>
      </c>
      <c r="Q261" s="36">
        <f t="shared" ca="1" si="31"/>
        <v>1</v>
      </c>
      <c r="R261" s="49" t="s">
        <v>3400</v>
      </c>
    </row>
    <row r="262" spans="2:18" s="5" customFormat="1" ht="40.5" customHeight="1" x14ac:dyDescent="0.25">
      <c r="B262" s="27">
        <v>43392</v>
      </c>
      <c r="C262" s="24" t="s">
        <v>2349</v>
      </c>
      <c r="D262" s="26" t="s">
        <v>3396</v>
      </c>
      <c r="E262" s="26" t="s">
        <v>3403</v>
      </c>
      <c r="F262" s="26" t="s">
        <v>3404</v>
      </c>
      <c r="G262" s="29" t="s">
        <v>3405</v>
      </c>
      <c r="H262" s="26" t="s">
        <v>3394</v>
      </c>
      <c r="I262" s="26" t="s">
        <v>19</v>
      </c>
      <c r="J262" s="45">
        <v>246673.76</v>
      </c>
      <c r="K262" s="45">
        <v>49.243600000000001</v>
      </c>
      <c r="L262" s="46">
        <f t="shared" si="32"/>
        <v>5009.2552128601483</v>
      </c>
      <c r="M262" s="26">
        <v>60</v>
      </c>
      <c r="N262" s="37">
        <f t="shared" si="34"/>
        <v>4111.2293333333337</v>
      </c>
      <c r="O262" s="38">
        <f t="shared" ca="1" si="33"/>
        <v>82</v>
      </c>
      <c r="P262" s="36">
        <f t="shared" ca="1" si="23"/>
        <v>-90447.045333333372</v>
      </c>
      <c r="Q262" s="36">
        <f t="shared" ca="1" si="31"/>
        <v>1</v>
      </c>
      <c r="R262" s="49" t="s">
        <v>3400</v>
      </c>
    </row>
    <row r="263" spans="2:18" s="5" customFormat="1" ht="54" customHeight="1" x14ac:dyDescent="0.25">
      <c r="B263" s="27">
        <v>43461</v>
      </c>
      <c r="C263" s="24" t="s">
        <v>2349</v>
      </c>
      <c r="D263" s="26" t="s">
        <v>3406</v>
      </c>
      <c r="E263" s="26" t="s">
        <v>3407</v>
      </c>
      <c r="F263" s="26" t="s">
        <v>3408</v>
      </c>
      <c r="G263" s="29" t="s">
        <v>28</v>
      </c>
      <c r="H263" s="26" t="s">
        <v>2968</v>
      </c>
      <c r="I263" s="26" t="s">
        <v>19</v>
      </c>
      <c r="J263" s="45">
        <v>6608</v>
      </c>
      <c r="K263" s="45">
        <v>50.150399999999998</v>
      </c>
      <c r="L263" s="46">
        <f t="shared" si="32"/>
        <v>131.76365492598265</v>
      </c>
      <c r="M263" s="26">
        <v>60</v>
      </c>
      <c r="N263" s="37">
        <f t="shared" si="34"/>
        <v>110.13333333333334</v>
      </c>
      <c r="O263" s="38">
        <f t="shared" ca="1" si="33"/>
        <v>80</v>
      </c>
      <c r="P263" s="36">
        <f t="shared" ca="1" si="23"/>
        <v>-2202.6666666666679</v>
      </c>
      <c r="Q263" s="36">
        <f t="shared" ca="1" si="31"/>
        <v>1</v>
      </c>
      <c r="R263" s="49" t="s">
        <v>2652</v>
      </c>
    </row>
    <row r="264" spans="2:18" s="5" customFormat="1" ht="38.25" x14ac:dyDescent="0.25">
      <c r="B264" s="27">
        <v>43461</v>
      </c>
      <c r="C264" s="24" t="s">
        <v>2349</v>
      </c>
      <c r="D264" s="26" t="s">
        <v>3406</v>
      </c>
      <c r="E264" s="26" t="s">
        <v>3409</v>
      </c>
      <c r="F264" s="26" t="s">
        <v>3408</v>
      </c>
      <c r="G264" s="29" t="s">
        <v>28</v>
      </c>
      <c r="H264" s="26" t="s">
        <v>3410</v>
      </c>
      <c r="I264" s="26" t="s">
        <v>19</v>
      </c>
      <c r="J264" s="45">
        <v>6608</v>
      </c>
      <c r="K264" s="45">
        <v>50.150399999999998</v>
      </c>
      <c r="L264" s="46">
        <f t="shared" si="32"/>
        <v>131.76365492598265</v>
      </c>
      <c r="M264" s="26">
        <v>60</v>
      </c>
      <c r="N264" s="37">
        <f t="shared" si="34"/>
        <v>110.13333333333334</v>
      </c>
      <c r="O264" s="38">
        <f t="shared" ca="1" si="33"/>
        <v>80</v>
      </c>
      <c r="P264" s="36">
        <f t="shared" ca="1" si="23"/>
        <v>-2202.6666666666679</v>
      </c>
      <c r="Q264" s="36">
        <f t="shared" ca="1" si="31"/>
        <v>1</v>
      </c>
      <c r="R264" s="49" t="s">
        <v>2652</v>
      </c>
    </row>
    <row r="265" spans="2:18" s="5" customFormat="1" ht="38.25" x14ac:dyDescent="0.25">
      <c r="B265" s="27">
        <v>43465</v>
      </c>
      <c r="C265" s="24" t="s">
        <v>2349</v>
      </c>
      <c r="D265" s="26" t="s">
        <v>3411</v>
      </c>
      <c r="E265" s="26" t="s">
        <v>3412</v>
      </c>
      <c r="F265" s="26" t="s">
        <v>3413</v>
      </c>
      <c r="G265" s="923" t="s">
        <v>3414</v>
      </c>
      <c r="H265" s="26" t="s">
        <v>1107</v>
      </c>
      <c r="I265" s="26" t="s">
        <v>19</v>
      </c>
      <c r="J265" s="45">
        <v>26979.52</v>
      </c>
      <c r="K265" s="45">
        <v>50.146900000000002</v>
      </c>
      <c r="L265" s="46">
        <f t="shared" si="32"/>
        <v>538.00972742083752</v>
      </c>
      <c r="M265" s="26">
        <v>60</v>
      </c>
      <c r="N265" s="37">
        <f t="shared" si="34"/>
        <v>449.65866666666665</v>
      </c>
      <c r="O265" s="38">
        <f t="shared" ca="1" si="33"/>
        <v>79</v>
      </c>
      <c r="P265" s="36">
        <f t="shared" ref="P265:P328" ca="1" si="35">IF(OR(J265=0,M265=0,O265=0),0,J265-(N265*O265))</f>
        <v>-8543.514666666666</v>
      </c>
      <c r="Q265" s="36">
        <f t="shared" ca="1" si="31"/>
        <v>1</v>
      </c>
      <c r="R265" s="49" t="s">
        <v>3146</v>
      </c>
    </row>
    <row r="266" spans="2:18" s="5" customFormat="1" ht="51" customHeight="1" x14ac:dyDescent="0.25">
      <c r="B266" s="27">
        <v>43465</v>
      </c>
      <c r="C266" s="24" t="s">
        <v>2349</v>
      </c>
      <c r="D266" s="26" t="s">
        <v>3411</v>
      </c>
      <c r="E266" s="26" t="s">
        <v>3415</v>
      </c>
      <c r="F266" s="26" t="s">
        <v>3416</v>
      </c>
      <c r="G266" s="923" t="s">
        <v>3417</v>
      </c>
      <c r="H266" s="25" t="s">
        <v>3418</v>
      </c>
      <c r="I266" s="26" t="s">
        <v>19</v>
      </c>
      <c r="J266" s="45">
        <v>27148.32</v>
      </c>
      <c r="K266" s="45">
        <v>50.146900000000002</v>
      </c>
      <c r="L266" s="46">
        <f t="shared" si="32"/>
        <v>541.37583778857709</v>
      </c>
      <c r="M266" s="26">
        <v>60</v>
      </c>
      <c r="N266" s="37">
        <f t="shared" si="34"/>
        <v>452.47199999999998</v>
      </c>
      <c r="O266" s="38">
        <f t="shared" ca="1" si="33"/>
        <v>79</v>
      </c>
      <c r="P266" s="36">
        <f t="shared" ca="1" si="35"/>
        <v>-8596.9680000000008</v>
      </c>
      <c r="Q266" s="36">
        <f t="shared" ca="1" si="31"/>
        <v>1</v>
      </c>
      <c r="R266" s="49" t="s">
        <v>3146</v>
      </c>
    </row>
    <row r="267" spans="2:18" s="5" customFormat="1" ht="36" customHeight="1" x14ac:dyDescent="0.25">
      <c r="B267" s="27">
        <v>43465</v>
      </c>
      <c r="C267" s="24" t="s">
        <v>2349</v>
      </c>
      <c r="D267" s="26" t="s">
        <v>3411</v>
      </c>
      <c r="E267" s="26" t="s">
        <v>3419</v>
      </c>
      <c r="F267" s="26" t="s">
        <v>3420</v>
      </c>
      <c r="G267" s="923" t="s">
        <v>3421</v>
      </c>
      <c r="H267" s="25" t="s">
        <v>3422</v>
      </c>
      <c r="I267" s="26" t="s">
        <v>19</v>
      </c>
      <c r="J267" s="45">
        <f>15973.22/3</f>
        <v>5324.4066666666668</v>
      </c>
      <c r="K267" s="45">
        <v>50.146900000000002</v>
      </c>
      <c r="L267" s="46">
        <f t="shared" si="32"/>
        <v>106.17618769388868</v>
      </c>
      <c r="M267" s="26">
        <v>60</v>
      </c>
      <c r="N267" s="37">
        <f t="shared" si="34"/>
        <v>88.740111111111119</v>
      </c>
      <c r="O267" s="38">
        <f t="shared" ca="1" si="33"/>
        <v>79</v>
      </c>
      <c r="P267" s="36">
        <f t="shared" ca="1" si="35"/>
        <v>-1686.0621111111113</v>
      </c>
      <c r="Q267" s="36">
        <f t="shared" ca="1" si="31"/>
        <v>1</v>
      </c>
      <c r="R267" s="49" t="s">
        <v>3146</v>
      </c>
    </row>
    <row r="268" spans="2:18" s="5" customFormat="1" ht="39" customHeight="1" x14ac:dyDescent="0.25">
      <c r="B268" s="27">
        <v>43465</v>
      </c>
      <c r="C268" s="24" t="s">
        <v>2349</v>
      </c>
      <c r="D268" s="26" t="s">
        <v>3411</v>
      </c>
      <c r="E268" s="26" t="s">
        <v>3423</v>
      </c>
      <c r="F268" s="26" t="s">
        <v>3420</v>
      </c>
      <c r="G268" s="923" t="s">
        <v>3424</v>
      </c>
      <c r="H268" s="25" t="s">
        <v>3425</v>
      </c>
      <c r="I268" s="26" t="s">
        <v>19</v>
      </c>
      <c r="J268" s="45">
        <f>15973.22/3</f>
        <v>5324.4066666666668</v>
      </c>
      <c r="K268" s="45">
        <v>50.146900000000002</v>
      </c>
      <c r="L268" s="46">
        <f t="shared" si="32"/>
        <v>106.17618769388868</v>
      </c>
      <c r="M268" s="26">
        <v>60</v>
      </c>
      <c r="N268" s="37">
        <f t="shared" si="34"/>
        <v>88.740111111111119</v>
      </c>
      <c r="O268" s="38">
        <f t="shared" ca="1" si="33"/>
        <v>79</v>
      </c>
      <c r="P268" s="36">
        <f t="shared" ca="1" si="35"/>
        <v>-1686.0621111111113</v>
      </c>
      <c r="Q268" s="36">
        <f t="shared" ca="1" si="31"/>
        <v>1</v>
      </c>
      <c r="R268" s="49" t="s">
        <v>3146</v>
      </c>
    </row>
    <row r="269" spans="2:18" s="5" customFormat="1" ht="33.75" customHeight="1" x14ac:dyDescent="0.25">
      <c r="B269" s="27">
        <v>43465</v>
      </c>
      <c r="C269" s="24" t="s">
        <v>2349</v>
      </c>
      <c r="D269" s="26" t="s">
        <v>3411</v>
      </c>
      <c r="E269" s="26" t="s">
        <v>3426</v>
      </c>
      <c r="F269" s="26" t="s">
        <v>3420</v>
      </c>
      <c r="G269" s="923" t="s">
        <v>3427</v>
      </c>
      <c r="H269" s="25" t="s">
        <v>3428</v>
      </c>
      <c r="I269" s="26" t="s">
        <v>19</v>
      </c>
      <c r="J269" s="45">
        <f>15973.22/3</f>
        <v>5324.4066666666668</v>
      </c>
      <c r="K269" s="45">
        <v>50.146900000000002</v>
      </c>
      <c r="L269" s="46">
        <f t="shared" si="32"/>
        <v>106.17618769388868</v>
      </c>
      <c r="M269" s="26">
        <v>60</v>
      </c>
      <c r="N269" s="37">
        <f t="shared" si="34"/>
        <v>88.740111111111119</v>
      </c>
      <c r="O269" s="38">
        <f t="shared" ca="1" si="33"/>
        <v>79</v>
      </c>
      <c r="P269" s="36">
        <f t="shared" ca="1" si="35"/>
        <v>-1686.0621111111113</v>
      </c>
      <c r="Q269" s="36">
        <f t="shared" ca="1" si="31"/>
        <v>1</v>
      </c>
      <c r="R269" s="49" t="s">
        <v>3146</v>
      </c>
    </row>
    <row r="270" spans="2:18" s="5" customFormat="1" ht="63" customHeight="1" x14ac:dyDescent="0.25">
      <c r="B270" s="27">
        <v>43613</v>
      </c>
      <c r="C270" s="24" t="s">
        <v>2349</v>
      </c>
      <c r="D270" s="26" t="s">
        <v>3429</v>
      </c>
      <c r="E270" s="26" t="s">
        <v>3430</v>
      </c>
      <c r="F270" s="26" t="s">
        <v>3431</v>
      </c>
      <c r="G270" s="29" t="s">
        <v>3432</v>
      </c>
      <c r="H270" s="26" t="s">
        <v>3433</v>
      </c>
      <c r="I270" s="26" t="s">
        <v>19</v>
      </c>
      <c r="J270" s="32">
        <v>132913.64000000001</v>
      </c>
      <c r="K270" s="32">
        <v>50.472099999999998</v>
      </c>
      <c r="L270" s="33">
        <f t="shared" si="32"/>
        <v>2633.4081601518465</v>
      </c>
      <c r="M270" s="26">
        <v>36</v>
      </c>
      <c r="N270" s="37">
        <f t="shared" si="34"/>
        <v>3692.0455555555559</v>
      </c>
      <c r="O270" s="38">
        <f t="shared" ca="1" si="33"/>
        <v>75</v>
      </c>
      <c r="P270" s="36">
        <f t="shared" ca="1" si="35"/>
        <v>-143989.77666666667</v>
      </c>
      <c r="Q270" s="36">
        <f t="shared" ca="1" si="31"/>
        <v>1</v>
      </c>
      <c r="R270" s="49" t="s">
        <v>2520</v>
      </c>
    </row>
    <row r="271" spans="2:18" s="5" customFormat="1" ht="39" customHeight="1" x14ac:dyDescent="0.25">
      <c r="B271" s="27">
        <v>43613</v>
      </c>
      <c r="C271" s="24" t="s">
        <v>2349</v>
      </c>
      <c r="D271" s="26" t="s">
        <v>3434</v>
      </c>
      <c r="E271" s="26" t="s">
        <v>3435</v>
      </c>
      <c r="F271" s="26" t="s">
        <v>3436</v>
      </c>
      <c r="G271" s="29" t="s">
        <v>3437</v>
      </c>
      <c r="H271" s="26" t="s">
        <v>3438</v>
      </c>
      <c r="I271" s="26" t="s">
        <v>19</v>
      </c>
      <c r="J271" s="32">
        <v>29865</v>
      </c>
      <c r="K271" s="32">
        <v>50.472099999999998</v>
      </c>
      <c r="L271" s="33">
        <f t="shared" si="32"/>
        <v>591.71304542509631</v>
      </c>
      <c r="M271" s="26">
        <v>36</v>
      </c>
      <c r="N271" s="37">
        <f t="shared" si="34"/>
        <v>829.58333333333337</v>
      </c>
      <c r="O271" s="38">
        <f t="shared" ca="1" si="33"/>
        <v>75</v>
      </c>
      <c r="P271" s="36">
        <f t="shared" ca="1" si="35"/>
        <v>-32353.75</v>
      </c>
      <c r="Q271" s="36">
        <f t="shared" ca="1" si="31"/>
        <v>1</v>
      </c>
      <c r="R271" s="49" t="s">
        <v>369</v>
      </c>
    </row>
    <row r="272" spans="2:18" s="5" customFormat="1" ht="39.75" customHeight="1" x14ac:dyDescent="0.25">
      <c r="B272" s="27">
        <v>43613</v>
      </c>
      <c r="C272" s="24" t="s">
        <v>2349</v>
      </c>
      <c r="D272" s="26" t="s">
        <v>3434</v>
      </c>
      <c r="E272" s="26" t="s">
        <v>3439</v>
      </c>
      <c r="F272" s="26" t="s">
        <v>3436</v>
      </c>
      <c r="G272" s="29" t="s">
        <v>3440</v>
      </c>
      <c r="H272" s="26" t="s">
        <v>3441</v>
      </c>
      <c r="I272" s="26" t="s">
        <v>19</v>
      </c>
      <c r="J272" s="32">
        <v>29865</v>
      </c>
      <c r="K272" s="32">
        <v>50.472099999999998</v>
      </c>
      <c r="L272" s="33">
        <f t="shared" si="32"/>
        <v>591.71304542509631</v>
      </c>
      <c r="M272" s="26">
        <v>36</v>
      </c>
      <c r="N272" s="37">
        <f t="shared" si="34"/>
        <v>829.58333333333337</v>
      </c>
      <c r="O272" s="38">
        <f t="shared" ca="1" si="33"/>
        <v>75</v>
      </c>
      <c r="P272" s="36">
        <f t="shared" ca="1" si="35"/>
        <v>-32353.75</v>
      </c>
      <c r="Q272" s="36">
        <f t="shared" ca="1" si="31"/>
        <v>1</v>
      </c>
      <c r="R272" s="49" t="s">
        <v>369</v>
      </c>
    </row>
    <row r="273" spans="2:18" s="5" customFormat="1" ht="55.5" customHeight="1" x14ac:dyDescent="0.25">
      <c r="B273" s="27">
        <v>43613</v>
      </c>
      <c r="C273" s="24" t="s">
        <v>2349</v>
      </c>
      <c r="D273" s="26" t="s">
        <v>3434</v>
      </c>
      <c r="E273" s="26" t="s">
        <v>3442</v>
      </c>
      <c r="F273" s="26" t="s">
        <v>3436</v>
      </c>
      <c r="G273" s="29" t="s">
        <v>3443</v>
      </c>
      <c r="H273" s="26" t="s">
        <v>5518</v>
      </c>
      <c r="I273" s="26" t="s">
        <v>19</v>
      </c>
      <c r="J273" s="32">
        <v>29865</v>
      </c>
      <c r="K273" s="32">
        <v>50.472099999999998</v>
      </c>
      <c r="L273" s="33">
        <f t="shared" si="32"/>
        <v>591.71304542509631</v>
      </c>
      <c r="M273" s="26">
        <v>36</v>
      </c>
      <c r="N273" s="37">
        <f t="shared" si="34"/>
        <v>829.58333333333337</v>
      </c>
      <c r="O273" s="38">
        <f t="shared" ca="1" si="33"/>
        <v>75</v>
      </c>
      <c r="P273" s="36">
        <f t="shared" ca="1" si="35"/>
        <v>-32353.75</v>
      </c>
      <c r="Q273" s="36">
        <f t="shared" ca="1" si="31"/>
        <v>1</v>
      </c>
      <c r="R273" s="49" t="s">
        <v>369</v>
      </c>
    </row>
    <row r="274" spans="2:18" s="5" customFormat="1" ht="44.25" customHeight="1" x14ac:dyDescent="0.25">
      <c r="B274" s="27">
        <v>43613</v>
      </c>
      <c r="C274" s="24" t="s">
        <v>2349</v>
      </c>
      <c r="D274" s="26" t="s">
        <v>3434</v>
      </c>
      <c r="E274" s="26" t="s">
        <v>3444</v>
      </c>
      <c r="F274" s="26" t="s">
        <v>3445</v>
      </c>
      <c r="G274" s="29" t="s">
        <v>3446</v>
      </c>
      <c r="H274" s="26" t="s">
        <v>2411</v>
      </c>
      <c r="I274" s="26" t="s">
        <v>19</v>
      </c>
      <c r="J274" s="32">
        <f>23389.83+4210.17</f>
        <v>27600</v>
      </c>
      <c r="K274" s="32">
        <v>50.472099999999998</v>
      </c>
      <c r="L274" s="33">
        <f t="shared" si="32"/>
        <v>546.83676724368513</v>
      </c>
      <c r="M274" s="26">
        <v>36</v>
      </c>
      <c r="N274" s="37">
        <f t="shared" si="34"/>
        <v>766.66666666666663</v>
      </c>
      <c r="O274" s="38">
        <f t="shared" ca="1" si="33"/>
        <v>75</v>
      </c>
      <c r="P274" s="36">
        <f t="shared" ca="1" si="35"/>
        <v>-29900</v>
      </c>
      <c r="Q274" s="36">
        <f t="shared" ca="1" si="31"/>
        <v>1</v>
      </c>
      <c r="R274" s="49" t="s">
        <v>369</v>
      </c>
    </row>
    <row r="275" spans="2:18" s="5" customFormat="1" ht="36" customHeight="1" x14ac:dyDescent="0.25">
      <c r="B275" s="27">
        <v>43613</v>
      </c>
      <c r="C275" s="24" t="s">
        <v>2349</v>
      </c>
      <c r="D275" s="26" t="s">
        <v>3434</v>
      </c>
      <c r="E275" s="26" t="s">
        <v>3447</v>
      </c>
      <c r="F275" s="26" t="s">
        <v>3445</v>
      </c>
      <c r="G275" s="29" t="s">
        <v>3448</v>
      </c>
      <c r="H275" s="26" t="s">
        <v>3449</v>
      </c>
      <c r="I275" s="26" t="s">
        <v>19</v>
      </c>
      <c r="J275" s="32">
        <f>23389.83+4210.17</f>
        <v>27600</v>
      </c>
      <c r="K275" s="32">
        <v>50.472099999999998</v>
      </c>
      <c r="L275" s="33">
        <f t="shared" si="32"/>
        <v>546.83676724368513</v>
      </c>
      <c r="M275" s="26">
        <v>36</v>
      </c>
      <c r="N275" s="37">
        <f t="shared" si="34"/>
        <v>766.66666666666663</v>
      </c>
      <c r="O275" s="38">
        <f t="shared" ca="1" si="33"/>
        <v>75</v>
      </c>
      <c r="P275" s="36">
        <f t="shared" ca="1" si="35"/>
        <v>-29900</v>
      </c>
      <c r="Q275" s="36">
        <f t="shared" ca="1" si="31"/>
        <v>1</v>
      </c>
      <c r="R275" s="49" t="s">
        <v>369</v>
      </c>
    </row>
    <row r="276" spans="2:18" s="5" customFormat="1" ht="49.5" customHeight="1" x14ac:dyDescent="0.25">
      <c r="B276" s="27">
        <v>43625</v>
      </c>
      <c r="C276" s="24" t="s">
        <v>2349</v>
      </c>
      <c r="D276" s="26" t="s">
        <v>3450</v>
      </c>
      <c r="E276" s="26" t="s">
        <v>3451</v>
      </c>
      <c r="F276" s="26" t="s">
        <v>3452</v>
      </c>
      <c r="G276" s="29" t="s">
        <v>3453</v>
      </c>
      <c r="H276" s="26" t="s">
        <v>3454</v>
      </c>
      <c r="I276" s="26" t="s">
        <v>19</v>
      </c>
      <c r="J276" s="32">
        <v>27677.68</v>
      </c>
      <c r="K276" s="32">
        <v>50.531500000000001</v>
      </c>
      <c r="L276" s="33">
        <f t="shared" si="32"/>
        <v>547.73121716157243</v>
      </c>
      <c r="M276" s="26">
        <v>36</v>
      </c>
      <c r="N276" s="37">
        <f t="shared" si="34"/>
        <v>768.82444444444445</v>
      </c>
      <c r="O276" s="38">
        <f t="shared" ca="1" si="33"/>
        <v>74</v>
      </c>
      <c r="P276" s="36">
        <f t="shared" ca="1" si="35"/>
        <v>-29215.328888888886</v>
      </c>
      <c r="Q276" s="36">
        <f t="shared" ca="1" si="31"/>
        <v>1</v>
      </c>
      <c r="R276" s="49" t="s">
        <v>2520</v>
      </c>
    </row>
    <row r="277" spans="2:18" s="5" customFormat="1" ht="46.9" customHeight="1" x14ac:dyDescent="0.25">
      <c r="B277" s="27">
        <v>43648</v>
      </c>
      <c r="C277" s="24" t="s">
        <v>2349</v>
      </c>
      <c r="D277" s="26" t="s">
        <v>3455</v>
      </c>
      <c r="E277" s="26" t="s">
        <v>3456</v>
      </c>
      <c r="F277" s="26" t="s">
        <v>3457</v>
      </c>
      <c r="G277" s="29">
        <v>100126020</v>
      </c>
      <c r="H277" s="26" t="s">
        <v>3458</v>
      </c>
      <c r="I277" s="26" t="s">
        <v>19</v>
      </c>
      <c r="J277" s="32">
        <v>14500.01</v>
      </c>
      <c r="K277" s="32">
        <v>50.703099999999999</v>
      </c>
      <c r="L277" s="33">
        <f t="shared" si="32"/>
        <v>285.97876658429169</v>
      </c>
      <c r="M277" s="26">
        <v>36</v>
      </c>
      <c r="N277" s="37">
        <f t="shared" si="34"/>
        <v>402.77805555555557</v>
      </c>
      <c r="O277" s="38">
        <f t="shared" ca="1" si="33"/>
        <v>73</v>
      </c>
      <c r="P277" s="36">
        <f t="shared" ca="1" si="35"/>
        <v>-14902.788055555555</v>
      </c>
      <c r="Q277" s="36">
        <f t="shared" ca="1" si="31"/>
        <v>1</v>
      </c>
      <c r="R277" s="49" t="s">
        <v>1628</v>
      </c>
    </row>
    <row r="278" spans="2:18" s="5" customFormat="1" ht="46.9" customHeight="1" x14ac:dyDescent="0.25">
      <c r="B278" s="27">
        <v>43648</v>
      </c>
      <c r="C278" s="24" t="s">
        <v>2349</v>
      </c>
      <c r="D278" s="26" t="s">
        <v>3455</v>
      </c>
      <c r="E278" s="26" t="s">
        <v>3459</v>
      </c>
      <c r="F278" s="26" t="s">
        <v>3460</v>
      </c>
      <c r="G278" s="29" t="s">
        <v>3461</v>
      </c>
      <c r="H278" s="26" t="s">
        <v>3458</v>
      </c>
      <c r="I278" s="26" t="s">
        <v>19</v>
      </c>
      <c r="J278" s="32">
        <v>5200</v>
      </c>
      <c r="K278" s="32">
        <v>50.703099999999999</v>
      </c>
      <c r="L278" s="33">
        <f t="shared" si="32"/>
        <v>102.55783176965511</v>
      </c>
      <c r="M278" s="26">
        <v>36</v>
      </c>
      <c r="N278" s="37">
        <f t="shared" si="34"/>
        <v>144.44444444444446</v>
      </c>
      <c r="O278" s="38">
        <f t="shared" ca="1" si="33"/>
        <v>73</v>
      </c>
      <c r="P278" s="36">
        <f t="shared" ca="1" si="35"/>
        <v>-5344.4444444444453</v>
      </c>
      <c r="Q278" s="36">
        <f t="shared" ca="1" si="31"/>
        <v>1</v>
      </c>
      <c r="R278" s="49" t="s">
        <v>1628</v>
      </c>
    </row>
    <row r="279" spans="2:18" s="5" customFormat="1" ht="46.9" customHeight="1" x14ac:dyDescent="0.25">
      <c r="B279" s="27">
        <v>43648</v>
      </c>
      <c r="C279" s="24" t="s">
        <v>2349</v>
      </c>
      <c r="D279" s="26" t="s">
        <v>3455</v>
      </c>
      <c r="E279" s="26" t="s">
        <v>3462</v>
      </c>
      <c r="F279" s="26" t="s">
        <v>3463</v>
      </c>
      <c r="G279" s="29" t="s">
        <v>3464</v>
      </c>
      <c r="H279" s="26" t="s">
        <v>3465</v>
      </c>
      <c r="I279" s="26" t="s">
        <v>19</v>
      </c>
      <c r="J279" s="32">
        <v>34500</v>
      </c>
      <c r="K279" s="32">
        <v>50.703099999999999</v>
      </c>
      <c r="L279" s="33">
        <f t="shared" si="32"/>
        <v>680.43176847175027</v>
      </c>
      <c r="M279" s="26">
        <v>36</v>
      </c>
      <c r="N279" s="37">
        <f t="shared" si="34"/>
        <v>958.33333333333337</v>
      </c>
      <c r="O279" s="38">
        <f t="shared" ca="1" si="33"/>
        <v>73</v>
      </c>
      <c r="P279" s="36">
        <f t="shared" ca="1" si="35"/>
        <v>-35458.333333333343</v>
      </c>
      <c r="Q279" s="36">
        <f t="shared" ca="1" si="31"/>
        <v>1</v>
      </c>
      <c r="R279" s="49" t="s">
        <v>1628</v>
      </c>
    </row>
    <row r="280" spans="2:18" s="5" customFormat="1" ht="52.5" customHeight="1" x14ac:dyDescent="0.25">
      <c r="B280" s="27">
        <v>43648</v>
      </c>
      <c r="C280" s="24" t="s">
        <v>2349</v>
      </c>
      <c r="D280" s="26" t="s">
        <v>3455</v>
      </c>
      <c r="E280" s="26" t="s">
        <v>3466</v>
      </c>
      <c r="F280" s="26" t="s">
        <v>3463</v>
      </c>
      <c r="G280" s="29" t="s">
        <v>3467</v>
      </c>
      <c r="H280" s="26" t="s">
        <v>3468</v>
      </c>
      <c r="I280" s="26" t="s">
        <v>19</v>
      </c>
      <c r="J280" s="32">
        <v>34500</v>
      </c>
      <c r="K280" s="32">
        <v>50.703099999999999</v>
      </c>
      <c r="L280" s="33">
        <f t="shared" si="32"/>
        <v>680.43176847175027</v>
      </c>
      <c r="M280" s="26">
        <v>36</v>
      </c>
      <c r="N280" s="37">
        <f t="shared" si="34"/>
        <v>958.33333333333337</v>
      </c>
      <c r="O280" s="38">
        <f t="shared" ca="1" si="33"/>
        <v>73</v>
      </c>
      <c r="P280" s="36">
        <f t="shared" ca="1" si="35"/>
        <v>-35458.333333333343</v>
      </c>
      <c r="Q280" s="36">
        <f t="shared" ca="1" si="31"/>
        <v>1</v>
      </c>
      <c r="R280" s="49" t="s">
        <v>1628</v>
      </c>
    </row>
    <row r="281" spans="2:18" s="5" customFormat="1" ht="46.9" customHeight="1" x14ac:dyDescent="0.25">
      <c r="B281" s="27">
        <v>43648</v>
      </c>
      <c r="C281" s="24" t="s">
        <v>2349</v>
      </c>
      <c r="D281" s="26" t="s">
        <v>3455</v>
      </c>
      <c r="E281" s="26" t="s">
        <v>3469</v>
      </c>
      <c r="F281" s="26" t="s">
        <v>3470</v>
      </c>
      <c r="G281" s="29" t="s">
        <v>3471</v>
      </c>
      <c r="H281" s="26" t="s">
        <v>1135</v>
      </c>
      <c r="I281" s="26" t="s">
        <v>19</v>
      </c>
      <c r="J281" s="32">
        <v>23500</v>
      </c>
      <c r="K281" s="32">
        <v>50.703099999999999</v>
      </c>
      <c r="L281" s="33">
        <f t="shared" si="32"/>
        <v>463.48250895901828</v>
      </c>
      <c r="M281" s="26">
        <v>36</v>
      </c>
      <c r="N281" s="37">
        <f t="shared" si="34"/>
        <v>652.77777777777783</v>
      </c>
      <c r="O281" s="38">
        <f t="shared" ca="1" si="33"/>
        <v>73</v>
      </c>
      <c r="P281" s="36">
        <f t="shared" ca="1" si="35"/>
        <v>-24152.777777777781</v>
      </c>
      <c r="Q281" s="36">
        <f t="shared" ca="1" si="31"/>
        <v>1</v>
      </c>
      <c r="R281" s="49" t="s">
        <v>1628</v>
      </c>
    </row>
    <row r="282" spans="2:18" s="5" customFormat="1" ht="46.9" customHeight="1" x14ac:dyDescent="0.25">
      <c r="B282" s="27">
        <v>43713</v>
      </c>
      <c r="C282" s="24" t="s">
        <v>2349</v>
      </c>
      <c r="D282" s="26" t="s">
        <v>3472</v>
      </c>
      <c r="E282" s="26" t="s">
        <v>3473</v>
      </c>
      <c r="F282" s="26" t="s">
        <v>3474</v>
      </c>
      <c r="G282" s="29" t="s">
        <v>28</v>
      </c>
      <c r="H282" s="26" t="s">
        <v>3378</v>
      </c>
      <c r="I282" s="26" t="s">
        <v>3379</v>
      </c>
      <c r="J282" s="32">
        <v>13540.5</v>
      </c>
      <c r="K282" s="32">
        <v>51.201700000000002</v>
      </c>
      <c r="L282" s="33">
        <f t="shared" si="32"/>
        <v>264.45410992213147</v>
      </c>
      <c r="M282" s="26">
        <v>36</v>
      </c>
      <c r="N282" s="37">
        <f t="shared" si="34"/>
        <v>376.125</v>
      </c>
      <c r="O282" s="38">
        <f t="shared" ca="1" si="33"/>
        <v>71</v>
      </c>
      <c r="P282" s="36">
        <f t="shared" ca="1" si="35"/>
        <v>-13164.375</v>
      </c>
      <c r="Q282" s="36">
        <f t="shared" ca="1" si="31"/>
        <v>1</v>
      </c>
      <c r="R282" s="49" t="s">
        <v>3475</v>
      </c>
    </row>
    <row r="283" spans="2:18" s="5" customFormat="1" ht="46.9" customHeight="1" x14ac:dyDescent="0.25">
      <c r="B283" s="27">
        <v>43713</v>
      </c>
      <c r="C283" s="24" t="s">
        <v>2349</v>
      </c>
      <c r="D283" s="26" t="s">
        <v>3472</v>
      </c>
      <c r="E283" s="26" t="s">
        <v>3476</v>
      </c>
      <c r="F283" s="26" t="s">
        <v>3477</v>
      </c>
      <c r="G283" s="29" t="s">
        <v>28</v>
      </c>
      <c r="H283" s="26" t="s">
        <v>3378</v>
      </c>
      <c r="I283" s="26" t="s">
        <v>3379</v>
      </c>
      <c r="J283" s="32">
        <v>13365.27</v>
      </c>
      <c r="K283" s="32">
        <v>51.201700000000002</v>
      </c>
      <c r="L283" s="33">
        <f t="shared" si="32"/>
        <v>261.03176261725685</v>
      </c>
      <c r="M283" s="26">
        <v>36</v>
      </c>
      <c r="N283" s="37">
        <f t="shared" si="34"/>
        <v>371.25749999999999</v>
      </c>
      <c r="O283" s="38">
        <f t="shared" ca="1" si="33"/>
        <v>71</v>
      </c>
      <c r="P283" s="36">
        <f t="shared" ca="1" si="35"/>
        <v>-12994.012500000001</v>
      </c>
      <c r="Q283" s="36">
        <f t="shared" ca="1" si="31"/>
        <v>1</v>
      </c>
      <c r="R283" s="49" t="s">
        <v>3475</v>
      </c>
    </row>
    <row r="284" spans="2:18" s="5" customFormat="1" ht="38.25" customHeight="1" x14ac:dyDescent="0.25">
      <c r="B284" s="27">
        <v>43747</v>
      </c>
      <c r="C284" s="24" t="s">
        <v>2349</v>
      </c>
      <c r="D284" s="26" t="s">
        <v>3478</v>
      </c>
      <c r="E284" s="26" t="s">
        <v>3481</v>
      </c>
      <c r="F284" s="26" t="s">
        <v>3479</v>
      </c>
      <c r="G284" s="29" t="s">
        <v>28</v>
      </c>
      <c r="H284" s="26" t="s">
        <v>3482</v>
      </c>
      <c r="I284" s="26" t="s">
        <v>19</v>
      </c>
      <c r="J284" s="32">
        <v>6920.7</v>
      </c>
      <c r="K284" s="32">
        <v>52.664200000000001</v>
      </c>
      <c r="L284" s="33">
        <f t="shared" si="32"/>
        <v>131.41185093479061</v>
      </c>
      <c r="M284" s="26">
        <v>36</v>
      </c>
      <c r="N284" s="37">
        <f t="shared" si="34"/>
        <v>192.24166666666667</v>
      </c>
      <c r="O284" s="38">
        <f t="shared" ca="1" si="33"/>
        <v>70</v>
      </c>
      <c r="P284" s="36">
        <f t="shared" ca="1" si="35"/>
        <v>-6536.2166666666681</v>
      </c>
      <c r="Q284" s="36">
        <f t="shared" ca="1" si="31"/>
        <v>1</v>
      </c>
      <c r="R284" s="49" t="s">
        <v>3480</v>
      </c>
    </row>
    <row r="285" spans="2:18" s="5" customFormat="1" ht="46.9" customHeight="1" x14ac:dyDescent="0.25">
      <c r="B285" s="27">
        <v>43747</v>
      </c>
      <c r="C285" s="24" t="s">
        <v>2349</v>
      </c>
      <c r="D285" s="26" t="s">
        <v>3478</v>
      </c>
      <c r="E285" s="26" t="s">
        <v>3483</v>
      </c>
      <c r="F285" s="26" t="s">
        <v>3479</v>
      </c>
      <c r="G285" s="29" t="s">
        <v>28</v>
      </c>
      <c r="H285" s="26" t="s">
        <v>2971</v>
      </c>
      <c r="I285" s="26" t="s">
        <v>19</v>
      </c>
      <c r="J285" s="32">
        <v>6920.7</v>
      </c>
      <c r="K285" s="32">
        <v>52.664200000000001</v>
      </c>
      <c r="L285" s="33">
        <f t="shared" si="32"/>
        <v>131.41185093479061</v>
      </c>
      <c r="M285" s="26">
        <v>36</v>
      </c>
      <c r="N285" s="37">
        <f t="shared" si="34"/>
        <v>192.24166666666667</v>
      </c>
      <c r="O285" s="38">
        <f t="shared" ca="1" si="33"/>
        <v>70</v>
      </c>
      <c r="P285" s="36">
        <f t="shared" ca="1" si="35"/>
        <v>-6536.2166666666681</v>
      </c>
      <c r="Q285" s="36">
        <f t="shared" ca="1" si="31"/>
        <v>1</v>
      </c>
      <c r="R285" s="49" t="s">
        <v>3480</v>
      </c>
    </row>
    <row r="286" spans="2:18" s="5" customFormat="1" ht="43.5" customHeight="1" x14ac:dyDescent="0.25">
      <c r="B286" s="27">
        <v>43747</v>
      </c>
      <c r="C286" s="24" t="s">
        <v>2349</v>
      </c>
      <c r="D286" s="26" t="s">
        <v>3478</v>
      </c>
      <c r="E286" s="26" t="s">
        <v>3484</v>
      </c>
      <c r="F286" s="26" t="s">
        <v>3485</v>
      </c>
      <c r="G286" s="29" t="s">
        <v>28</v>
      </c>
      <c r="H286" s="26" t="s">
        <v>3486</v>
      </c>
      <c r="I286" s="26" t="s">
        <v>19</v>
      </c>
      <c r="J286" s="32">
        <v>5575.5</v>
      </c>
      <c r="K286" s="32">
        <v>52.664200000000001</v>
      </c>
      <c r="L286" s="33">
        <f t="shared" si="32"/>
        <v>105.86888246664716</v>
      </c>
      <c r="M286" s="26">
        <v>36</v>
      </c>
      <c r="N286" s="37">
        <f t="shared" si="34"/>
        <v>154.875</v>
      </c>
      <c r="O286" s="38">
        <f t="shared" ca="1" si="33"/>
        <v>70</v>
      </c>
      <c r="P286" s="36">
        <f t="shared" ca="1" si="35"/>
        <v>-5265.75</v>
      </c>
      <c r="Q286" s="36">
        <f t="shared" ref="Q286:Q320" ca="1" si="36">IF(P286&lt;1,1,P286)</f>
        <v>1</v>
      </c>
      <c r="R286" s="49" t="s">
        <v>3480</v>
      </c>
    </row>
    <row r="287" spans="2:18" s="5" customFormat="1" ht="46.9" customHeight="1" x14ac:dyDescent="0.25">
      <c r="B287" s="27">
        <v>43747</v>
      </c>
      <c r="C287" s="24" t="s">
        <v>2349</v>
      </c>
      <c r="D287" s="26" t="s">
        <v>3478</v>
      </c>
      <c r="E287" s="26" t="s">
        <v>3487</v>
      </c>
      <c r="F287" s="26" t="s">
        <v>3485</v>
      </c>
      <c r="G287" s="29" t="s">
        <v>28</v>
      </c>
      <c r="H287" s="26" t="s">
        <v>3486</v>
      </c>
      <c r="I287" s="26" t="s">
        <v>19</v>
      </c>
      <c r="J287" s="32">
        <v>5575.5</v>
      </c>
      <c r="K287" s="32">
        <v>52.664200000000001</v>
      </c>
      <c r="L287" s="33">
        <f t="shared" si="32"/>
        <v>105.86888246664716</v>
      </c>
      <c r="M287" s="26">
        <v>36</v>
      </c>
      <c r="N287" s="37">
        <f t="shared" si="34"/>
        <v>154.875</v>
      </c>
      <c r="O287" s="38">
        <f t="shared" ca="1" si="33"/>
        <v>70</v>
      </c>
      <c r="P287" s="36">
        <f t="shared" ca="1" si="35"/>
        <v>-5265.75</v>
      </c>
      <c r="Q287" s="36">
        <f t="shared" ca="1" si="36"/>
        <v>1</v>
      </c>
      <c r="R287" s="49" t="s">
        <v>3480</v>
      </c>
    </row>
    <row r="288" spans="2:18" s="5" customFormat="1" ht="46.9" customHeight="1" x14ac:dyDescent="0.25">
      <c r="B288" s="27">
        <v>43747</v>
      </c>
      <c r="C288" s="24" t="s">
        <v>2349</v>
      </c>
      <c r="D288" s="26" t="s">
        <v>3478</v>
      </c>
      <c r="E288" s="26" t="s">
        <v>3488</v>
      </c>
      <c r="F288" s="26" t="s">
        <v>3485</v>
      </c>
      <c r="G288" s="29" t="s">
        <v>28</v>
      </c>
      <c r="H288" s="26" t="s">
        <v>3489</v>
      </c>
      <c r="I288" s="26" t="s">
        <v>19</v>
      </c>
      <c r="J288" s="32">
        <v>5575.5</v>
      </c>
      <c r="K288" s="32">
        <v>52.664200000000001</v>
      </c>
      <c r="L288" s="33">
        <f t="shared" si="32"/>
        <v>105.86888246664716</v>
      </c>
      <c r="M288" s="26">
        <v>36</v>
      </c>
      <c r="N288" s="37">
        <f t="shared" si="34"/>
        <v>154.875</v>
      </c>
      <c r="O288" s="38">
        <f t="shared" ca="1" si="33"/>
        <v>70</v>
      </c>
      <c r="P288" s="36">
        <f t="shared" ca="1" si="35"/>
        <v>-5265.75</v>
      </c>
      <c r="Q288" s="36">
        <f t="shared" ca="1" si="36"/>
        <v>1</v>
      </c>
      <c r="R288" s="49" t="s">
        <v>3480</v>
      </c>
    </row>
    <row r="289" spans="2:18" s="5" customFormat="1" ht="46.9" customHeight="1" x14ac:dyDescent="0.25">
      <c r="B289" s="27">
        <v>43747</v>
      </c>
      <c r="C289" s="24" t="s">
        <v>2349</v>
      </c>
      <c r="D289" s="26" t="s">
        <v>3478</v>
      </c>
      <c r="E289" s="26" t="s">
        <v>3490</v>
      </c>
      <c r="F289" s="26" t="s">
        <v>3485</v>
      </c>
      <c r="G289" s="29" t="s">
        <v>28</v>
      </c>
      <c r="H289" s="26" t="s">
        <v>3489</v>
      </c>
      <c r="I289" s="26" t="s">
        <v>19</v>
      </c>
      <c r="J289" s="32">
        <v>5575.5</v>
      </c>
      <c r="K289" s="32">
        <v>52.664200000000001</v>
      </c>
      <c r="L289" s="33">
        <f t="shared" si="32"/>
        <v>105.86888246664716</v>
      </c>
      <c r="M289" s="26">
        <v>36</v>
      </c>
      <c r="N289" s="37">
        <f t="shared" si="34"/>
        <v>154.875</v>
      </c>
      <c r="O289" s="38">
        <f t="shared" ca="1" si="33"/>
        <v>70</v>
      </c>
      <c r="P289" s="36">
        <f t="shared" ca="1" si="35"/>
        <v>-5265.75</v>
      </c>
      <c r="Q289" s="36">
        <f t="shared" ca="1" si="36"/>
        <v>1</v>
      </c>
      <c r="R289" s="49" t="s">
        <v>3480</v>
      </c>
    </row>
    <row r="290" spans="2:18" s="5" customFormat="1" ht="38.25" customHeight="1" x14ac:dyDescent="0.25">
      <c r="B290" s="27">
        <v>43747</v>
      </c>
      <c r="C290" s="24" t="s">
        <v>2349</v>
      </c>
      <c r="D290" s="26" t="s">
        <v>3478</v>
      </c>
      <c r="E290" s="26" t="s">
        <v>3491</v>
      </c>
      <c r="F290" s="26" t="s">
        <v>3492</v>
      </c>
      <c r="G290" s="29" t="s">
        <v>28</v>
      </c>
      <c r="H290" s="26" t="s">
        <v>2655</v>
      </c>
      <c r="I290" s="26" t="s">
        <v>19</v>
      </c>
      <c r="J290" s="32">
        <v>12478.5</v>
      </c>
      <c r="K290" s="32">
        <v>52.664200000000001</v>
      </c>
      <c r="L290" s="33">
        <f t="shared" si="32"/>
        <v>236.94464171106748</v>
      </c>
      <c r="M290" s="26">
        <v>36</v>
      </c>
      <c r="N290" s="37">
        <f t="shared" si="34"/>
        <v>346.625</v>
      </c>
      <c r="O290" s="38">
        <f t="shared" ca="1" si="33"/>
        <v>70</v>
      </c>
      <c r="P290" s="36">
        <f t="shared" ca="1" si="35"/>
        <v>-11785.25</v>
      </c>
      <c r="Q290" s="36">
        <f t="shared" ca="1" si="36"/>
        <v>1</v>
      </c>
      <c r="R290" s="49" t="s">
        <v>3480</v>
      </c>
    </row>
    <row r="291" spans="2:18" s="5" customFormat="1" ht="41.25" customHeight="1" x14ac:dyDescent="0.25">
      <c r="B291" s="27">
        <v>43747</v>
      </c>
      <c r="C291" s="24" t="s">
        <v>2349</v>
      </c>
      <c r="D291" s="26" t="s">
        <v>3478</v>
      </c>
      <c r="E291" s="26" t="s">
        <v>3493</v>
      </c>
      <c r="F291" s="26" t="s">
        <v>3492</v>
      </c>
      <c r="G291" s="29" t="s">
        <v>28</v>
      </c>
      <c r="H291" s="26" t="s">
        <v>3494</v>
      </c>
      <c r="I291" s="26" t="s">
        <v>19</v>
      </c>
      <c r="J291" s="32">
        <v>12478.5</v>
      </c>
      <c r="K291" s="32">
        <v>52.664200000000001</v>
      </c>
      <c r="L291" s="33">
        <f t="shared" si="32"/>
        <v>236.94464171106748</v>
      </c>
      <c r="M291" s="26">
        <v>36</v>
      </c>
      <c r="N291" s="37">
        <f t="shared" si="34"/>
        <v>346.625</v>
      </c>
      <c r="O291" s="38">
        <f t="shared" ca="1" si="33"/>
        <v>70</v>
      </c>
      <c r="P291" s="36">
        <f t="shared" ca="1" si="35"/>
        <v>-11785.25</v>
      </c>
      <c r="Q291" s="36">
        <f t="shared" ca="1" si="36"/>
        <v>1</v>
      </c>
      <c r="R291" s="49" t="s">
        <v>3480</v>
      </c>
    </row>
    <row r="292" spans="2:18" s="5" customFormat="1" ht="45" customHeight="1" x14ac:dyDescent="0.25">
      <c r="B292" s="27">
        <v>43747</v>
      </c>
      <c r="C292" s="24" t="s">
        <v>2349</v>
      </c>
      <c r="D292" s="26" t="s">
        <v>3478</v>
      </c>
      <c r="E292" s="26" t="s">
        <v>3495</v>
      </c>
      <c r="F292" s="26" t="s">
        <v>3496</v>
      </c>
      <c r="G292" s="29" t="s">
        <v>28</v>
      </c>
      <c r="H292" s="26" t="s">
        <v>3497</v>
      </c>
      <c r="I292" s="26" t="s">
        <v>19</v>
      </c>
      <c r="J292" s="32">
        <v>8850</v>
      </c>
      <c r="K292" s="32">
        <v>52.664200000000001</v>
      </c>
      <c r="L292" s="33">
        <f t="shared" si="32"/>
        <v>168.04584518515423</v>
      </c>
      <c r="M292" s="26">
        <v>36</v>
      </c>
      <c r="N292" s="37">
        <f t="shared" si="34"/>
        <v>245.83333333333334</v>
      </c>
      <c r="O292" s="38">
        <f t="shared" ca="1" si="33"/>
        <v>70</v>
      </c>
      <c r="P292" s="36">
        <f t="shared" ca="1" si="35"/>
        <v>-8358.3333333333358</v>
      </c>
      <c r="Q292" s="36">
        <f t="shared" ca="1" si="36"/>
        <v>1</v>
      </c>
      <c r="R292" s="49" t="s">
        <v>3480</v>
      </c>
    </row>
    <row r="293" spans="2:18" s="5" customFormat="1" ht="42" customHeight="1" x14ac:dyDescent="0.25">
      <c r="B293" s="27">
        <v>43747</v>
      </c>
      <c r="C293" s="24" t="s">
        <v>2349</v>
      </c>
      <c r="D293" s="26" t="s">
        <v>3478</v>
      </c>
      <c r="E293" s="26" t="s">
        <v>3498</v>
      </c>
      <c r="F293" s="26" t="s">
        <v>3496</v>
      </c>
      <c r="G293" s="29" t="s">
        <v>28</v>
      </c>
      <c r="H293" s="26" t="s">
        <v>60</v>
      </c>
      <c r="I293" s="26" t="s">
        <v>19</v>
      </c>
      <c r="J293" s="32">
        <v>8850</v>
      </c>
      <c r="K293" s="32">
        <v>52.664200000000001</v>
      </c>
      <c r="L293" s="33">
        <f t="shared" si="32"/>
        <v>168.04584518515423</v>
      </c>
      <c r="M293" s="26">
        <v>36</v>
      </c>
      <c r="N293" s="37">
        <f t="shared" si="34"/>
        <v>245.83333333333334</v>
      </c>
      <c r="O293" s="38">
        <f t="shared" ca="1" si="33"/>
        <v>70</v>
      </c>
      <c r="P293" s="36">
        <f t="shared" ca="1" si="35"/>
        <v>-8358.3333333333358</v>
      </c>
      <c r="Q293" s="36">
        <f t="shared" ca="1" si="36"/>
        <v>1</v>
      </c>
      <c r="R293" s="49" t="s">
        <v>3480</v>
      </c>
    </row>
    <row r="294" spans="2:18" s="5" customFormat="1" ht="39" customHeight="1" x14ac:dyDescent="0.25">
      <c r="B294" s="27">
        <v>43747</v>
      </c>
      <c r="C294" s="24" t="s">
        <v>2349</v>
      </c>
      <c r="D294" s="26" t="s">
        <v>3478</v>
      </c>
      <c r="E294" s="26" t="s">
        <v>3499</v>
      </c>
      <c r="F294" s="26" t="s">
        <v>3500</v>
      </c>
      <c r="G294" s="29" t="s">
        <v>28</v>
      </c>
      <c r="H294" s="26" t="s">
        <v>2916</v>
      </c>
      <c r="I294" s="26" t="s">
        <v>19</v>
      </c>
      <c r="J294" s="32">
        <v>5664</v>
      </c>
      <c r="K294" s="32">
        <v>52.664200000000001</v>
      </c>
      <c r="L294" s="33">
        <f t="shared" si="32"/>
        <v>107.54934091849871</v>
      </c>
      <c r="M294" s="26">
        <v>36</v>
      </c>
      <c r="N294" s="37">
        <f t="shared" si="34"/>
        <v>157.33333333333334</v>
      </c>
      <c r="O294" s="38">
        <f t="shared" ca="1" si="33"/>
        <v>70</v>
      </c>
      <c r="P294" s="36">
        <f t="shared" ca="1" si="35"/>
        <v>-5349.3333333333339</v>
      </c>
      <c r="Q294" s="36">
        <f t="shared" ca="1" si="36"/>
        <v>1</v>
      </c>
      <c r="R294" s="49" t="s">
        <v>3480</v>
      </c>
    </row>
    <row r="295" spans="2:18" s="5" customFormat="1" ht="51.75" customHeight="1" x14ac:dyDescent="0.25">
      <c r="B295" s="27">
        <v>43747</v>
      </c>
      <c r="C295" s="24" t="s">
        <v>2349</v>
      </c>
      <c r="D295" s="26" t="s">
        <v>3478</v>
      </c>
      <c r="E295" s="26" t="s">
        <v>3501</v>
      </c>
      <c r="F295" s="26" t="s">
        <v>3502</v>
      </c>
      <c r="G295" s="29" t="s">
        <v>28</v>
      </c>
      <c r="H295" s="26" t="s">
        <v>3503</v>
      </c>
      <c r="I295" s="26" t="s">
        <v>19</v>
      </c>
      <c r="J295" s="32">
        <v>5664</v>
      </c>
      <c r="K295" s="32">
        <v>52.664200000000001</v>
      </c>
      <c r="L295" s="33">
        <f t="shared" si="32"/>
        <v>107.54934091849871</v>
      </c>
      <c r="M295" s="26">
        <v>36</v>
      </c>
      <c r="N295" s="37">
        <f t="shared" si="34"/>
        <v>157.33333333333334</v>
      </c>
      <c r="O295" s="38">
        <f t="shared" ca="1" si="33"/>
        <v>70</v>
      </c>
      <c r="P295" s="36">
        <f t="shared" ca="1" si="35"/>
        <v>-5349.3333333333339</v>
      </c>
      <c r="Q295" s="36">
        <f t="shared" ca="1" si="36"/>
        <v>1</v>
      </c>
      <c r="R295" s="49" t="s">
        <v>3480</v>
      </c>
    </row>
    <row r="296" spans="2:18" s="5" customFormat="1" ht="50.25" customHeight="1" x14ac:dyDescent="0.25">
      <c r="B296" s="27">
        <v>43747</v>
      </c>
      <c r="C296" s="24" t="s">
        <v>2349</v>
      </c>
      <c r="D296" s="26" t="s">
        <v>3478</v>
      </c>
      <c r="E296" s="26" t="s">
        <v>3505</v>
      </c>
      <c r="F296" s="26" t="s">
        <v>3502</v>
      </c>
      <c r="G296" s="29" t="s">
        <v>28</v>
      </c>
      <c r="H296" s="26" t="s">
        <v>3506</v>
      </c>
      <c r="I296" s="26" t="s">
        <v>19</v>
      </c>
      <c r="J296" s="32">
        <v>5664</v>
      </c>
      <c r="K296" s="32">
        <v>52.664200000000001</v>
      </c>
      <c r="L296" s="33">
        <f t="shared" ref="L296:L307" si="37">+J296/K296</f>
        <v>107.54934091849871</v>
      </c>
      <c r="M296" s="26">
        <v>36</v>
      </c>
      <c r="N296" s="37">
        <f t="shared" si="34"/>
        <v>157.33333333333334</v>
      </c>
      <c r="O296" s="38">
        <f t="shared" ref="O296:O326" ca="1" si="38">IF(B296&lt;&gt;0,(ROUND((NOW()-B296)/30,0)),0)</f>
        <v>70</v>
      </c>
      <c r="P296" s="36">
        <f t="shared" ca="1" si="35"/>
        <v>-5349.3333333333339</v>
      </c>
      <c r="Q296" s="36">
        <f t="shared" ca="1" si="36"/>
        <v>1</v>
      </c>
      <c r="R296" s="49" t="s">
        <v>3480</v>
      </c>
    </row>
    <row r="297" spans="2:18" s="5" customFormat="1" ht="51.75" customHeight="1" x14ac:dyDescent="0.25">
      <c r="B297" s="27">
        <v>43747</v>
      </c>
      <c r="C297" s="24" t="s">
        <v>2349</v>
      </c>
      <c r="D297" s="26" t="s">
        <v>3478</v>
      </c>
      <c r="E297" s="26" t="s">
        <v>3507</v>
      </c>
      <c r="F297" s="26" t="s">
        <v>3502</v>
      </c>
      <c r="G297" s="29" t="s">
        <v>28</v>
      </c>
      <c r="H297" s="26" t="s">
        <v>3508</v>
      </c>
      <c r="I297" s="26" t="s">
        <v>19</v>
      </c>
      <c r="J297" s="32">
        <v>5664</v>
      </c>
      <c r="K297" s="32">
        <v>52.664200000000001</v>
      </c>
      <c r="L297" s="33">
        <f t="shared" si="37"/>
        <v>107.54934091849871</v>
      </c>
      <c r="M297" s="26">
        <v>36</v>
      </c>
      <c r="N297" s="37">
        <f t="shared" si="34"/>
        <v>157.33333333333334</v>
      </c>
      <c r="O297" s="38">
        <f t="shared" ca="1" si="38"/>
        <v>70</v>
      </c>
      <c r="P297" s="36">
        <f t="shared" ca="1" si="35"/>
        <v>-5349.3333333333339</v>
      </c>
      <c r="Q297" s="36">
        <f t="shared" ca="1" si="36"/>
        <v>1</v>
      </c>
      <c r="R297" s="49" t="s">
        <v>3480</v>
      </c>
    </row>
    <row r="298" spans="2:18" s="5" customFormat="1" ht="51.75" customHeight="1" x14ac:dyDescent="0.25">
      <c r="B298" s="27">
        <v>43747</v>
      </c>
      <c r="C298" s="24" t="s">
        <v>2349</v>
      </c>
      <c r="D298" s="26" t="s">
        <v>3478</v>
      </c>
      <c r="E298" s="26" t="s">
        <v>3509</v>
      </c>
      <c r="F298" s="26" t="s">
        <v>3502</v>
      </c>
      <c r="G298" s="29" t="s">
        <v>28</v>
      </c>
      <c r="H298" s="26" t="s">
        <v>3510</v>
      </c>
      <c r="I298" s="26" t="s">
        <v>19</v>
      </c>
      <c r="J298" s="32">
        <v>5664</v>
      </c>
      <c r="K298" s="32">
        <v>52.664200000000001</v>
      </c>
      <c r="L298" s="33">
        <f t="shared" si="37"/>
        <v>107.54934091849871</v>
      </c>
      <c r="M298" s="26">
        <v>36</v>
      </c>
      <c r="N298" s="37">
        <f t="shared" si="34"/>
        <v>157.33333333333334</v>
      </c>
      <c r="O298" s="38">
        <f t="shared" ca="1" si="38"/>
        <v>70</v>
      </c>
      <c r="P298" s="36">
        <f t="shared" ca="1" si="35"/>
        <v>-5349.3333333333339</v>
      </c>
      <c r="Q298" s="36">
        <f t="shared" ca="1" si="36"/>
        <v>1</v>
      </c>
      <c r="R298" s="49" t="s">
        <v>3480</v>
      </c>
    </row>
    <row r="299" spans="2:18" s="5" customFormat="1" ht="46.9" customHeight="1" x14ac:dyDescent="0.25">
      <c r="B299" s="27">
        <v>43754</v>
      </c>
      <c r="C299" s="24" t="s">
        <v>2349</v>
      </c>
      <c r="D299" s="26" t="s">
        <v>3511</v>
      </c>
      <c r="E299" s="26" t="s">
        <v>3512</v>
      </c>
      <c r="F299" s="26" t="s">
        <v>3513</v>
      </c>
      <c r="G299" s="29" t="s">
        <v>3514</v>
      </c>
      <c r="H299" s="26" t="s">
        <v>3515</v>
      </c>
      <c r="I299" s="26" t="s">
        <v>19</v>
      </c>
      <c r="J299" s="32">
        <f>15192.5/2</f>
        <v>7596.25</v>
      </c>
      <c r="K299" s="32">
        <v>52.710299999999997</v>
      </c>
      <c r="L299" s="33">
        <f t="shared" si="37"/>
        <v>144.11319988692912</v>
      </c>
      <c r="M299" s="26">
        <v>36</v>
      </c>
      <c r="N299" s="37">
        <f t="shared" si="34"/>
        <v>211.00694444444446</v>
      </c>
      <c r="O299" s="38">
        <f t="shared" ca="1" si="38"/>
        <v>70</v>
      </c>
      <c r="P299" s="36">
        <f t="shared" ca="1" si="35"/>
        <v>-7174.2361111111113</v>
      </c>
      <c r="Q299" s="36">
        <f t="shared" ca="1" si="36"/>
        <v>1</v>
      </c>
      <c r="R299" s="49" t="s">
        <v>2886</v>
      </c>
    </row>
    <row r="300" spans="2:18" s="5" customFormat="1" ht="46.9" customHeight="1" x14ac:dyDescent="0.25">
      <c r="B300" s="27">
        <v>43754</v>
      </c>
      <c r="C300" s="24" t="s">
        <v>2349</v>
      </c>
      <c r="D300" s="26" t="s">
        <v>3511</v>
      </c>
      <c r="E300" s="26" t="s">
        <v>3516</v>
      </c>
      <c r="F300" s="26" t="s">
        <v>3513</v>
      </c>
      <c r="G300" s="29" t="s">
        <v>3517</v>
      </c>
      <c r="H300" s="26" t="s">
        <v>60</v>
      </c>
      <c r="I300" s="26" t="s">
        <v>19</v>
      </c>
      <c r="J300" s="32">
        <f>15192.5/2</f>
        <v>7596.25</v>
      </c>
      <c r="K300" s="32">
        <v>52.710299999999997</v>
      </c>
      <c r="L300" s="33">
        <f t="shared" si="37"/>
        <v>144.11319988692912</v>
      </c>
      <c r="M300" s="26">
        <v>36</v>
      </c>
      <c r="N300" s="37">
        <f t="shared" si="34"/>
        <v>211.00694444444446</v>
      </c>
      <c r="O300" s="38">
        <f t="shared" ca="1" si="38"/>
        <v>70</v>
      </c>
      <c r="P300" s="36">
        <f t="shared" ca="1" si="35"/>
        <v>-7174.2361111111113</v>
      </c>
      <c r="Q300" s="36">
        <f t="shared" ca="1" si="36"/>
        <v>1</v>
      </c>
      <c r="R300" s="49" t="s">
        <v>2886</v>
      </c>
    </row>
    <row r="301" spans="2:18" s="5" customFormat="1" ht="46.9" customHeight="1" x14ac:dyDescent="0.25">
      <c r="B301" s="27">
        <v>43754</v>
      </c>
      <c r="C301" s="24" t="s">
        <v>2349</v>
      </c>
      <c r="D301" s="26" t="s">
        <v>3511</v>
      </c>
      <c r="E301" s="26" t="s">
        <v>3518</v>
      </c>
      <c r="F301" s="26" t="s">
        <v>3519</v>
      </c>
      <c r="G301" s="29" t="s">
        <v>3520</v>
      </c>
      <c r="H301" s="26" t="s">
        <v>3515</v>
      </c>
      <c r="I301" s="26" t="s">
        <v>19</v>
      </c>
      <c r="J301" s="32">
        <f t="shared" ref="J301:J306" si="39">30992.7/6</f>
        <v>5165.45</v>
      </c>
      <c r="K301" s="32">
        <v>52.710299999999997</v>
      </c>
      <c r="L301" s="33">
        <f t="shared" si="37"/>
        <v>97.996975923111805</v>
      </c>
      <c r="M301" s="26">
        <v>36</v>
      </c>
      <c r="N301" s="37">
        <f t="shared" si="34"/>
        <v>143.48472222222222</v>
      </c>
      <c r="O301" s="38">
        <f t="shared" ca="1" si="38"/>
        <v>70</v>
      </c>
      <c r="P301" s="36">
        <f t="shared" ca="1" si="35"/>
        <v>-4878.4805555555549</v>
      </c>
      <c r="Q301" s="36">
        <f t="shared" ca="1" si="36"/>
        <v>1</v>
      </c>
      <c r="R301" s="49" t="s">
        <v>2886</v>
      </c>
    </row>
    <row r="302" spans="2:18" s="5" customFormat="1" ht="46.9" customHeight="1" x14ac:dyDescent="0.25">
      <c r="B302" s="27">
        <v>43754</v>
      </c>
      <c r="C302" s="24" t="s">
        <v>2349</v>
      </c>
      <c r="D302" s="26" t="s">
        <v>3511</v>
      </c>
      <c r="E302" s="26" t="s">
        <v>3521</v>
      </c>
      <c r="F302" s="26" t="s">
        <v>3519</v>
      </c>
      <c r="G302" s="29" t="s">
        <v>3522</v>
      </c>
      <c r="H302" s="26" t="s">
        <v>60</v>
      </c>
      <c r="I302" s="26" t="s">
        <v>19</v>
      </c>
      <c r="J302" s="32">
        <f t="shared" si="39"/>
        <v>5165.45</v>
      </c>
      <c r="K302" s="32">
        <v>52.710299999999997</v>
      </c>
      <c r="L302" s="33">
        <f t="shared" si="37"/>
        <v>97.996975923111805</v>
      </c>
      <c r="M302" s="26">
        <v>36</v>
      </c>
      <c r="N302" s="37">
        <f t="shared" si="34"/>
        <v>143.48472222222222</v>
      </c>
      <c r="O302" s="38">
        <f t="shared" ca="1" si="38"/>
        <v>70</v>
      </c>
      <c r="P302" s="36">
        <f t="shared" ca="1" si="35"/>
        <v>-4878.4805555555549</v>
      </c>
      <c r="Q302" s="36">
        <f t="shared" ca="1" si="36"/>
        <v>1</v>
      </c>
      <c r="R302" s="49" t="s">
        <v>2886</v>
      </c>
    </row>
    <row r="303" spans="2:18" s="5" customFormat="1" ht="46.9" customHeight="1" x14ac:dyDescent="0.25">
      <c r="B303" s="27">
        <v>43754</v>
      </c>
      <c r="C303" s="24" t="s">
        <v>2349</v>
      </c>
      <c r="D303" s="26" t="s">
        <v>3511</v>
      </c>
      <c r="E303" s="26" t="s">
        <v>3523</v>
      </c>
      <c r="F303" s="26" t="s">
        <v>3519</v>
      </c>
      <c r="G303" s="29" t="s">
        <v>3524</v>
      </c>
      <c r="H303" s="26" t="s">
        <v>3515</v>
      </c>
      <c r="I303" s="26" t="s">
        <v>19</v>
      </c>
      <c r="J303" s="32">
        <f t="shared" si="39"/>
        <v>5165.45</v>
      </c>
      <c r="K303" s="32">
        <v>52.710299999999997</v>
      </c>
      <c r="L303" s="33">
        <f t="shared" si="37"/>
        <v>97.996975923111805</v>
      </c>
      <c r="M303" s="26">
        <v>36</v>
      </c>
      <c r="N303" s="37">
        <f t="shared" si="34"/>
        <v>143.48472222222222</v>
      </c>
      <c r="O303" s="38">
        <f t="shared" ca="1" si="38"/>
        <v>70</v>
      </c>
      <c r="P303" s="36">
        <f t="shared" ca="1" si="35"/>
        <v>-4878.4805555555549</v>
      </c>
      <c r="Q303" s="36">
        <f t="shared" ca="1" si="36"/>
        <v>1</v>
      </c>
      <c r="R303" s="49" t="s">
        <v>2886</v>
      </c>
    </row>
    <row r="304" spans="2:18" s="5" customFormat="1" ht="35.25" customHeight="1" x14ac:dyDescent="0.25">
      <c r="B304" s="27">
        <v>43754</v>
      </c>
      <c r="C304" s="24" t="s">
        <v>2349</v>
      </c>
      <c r="D304" s="26" t="s">
        <v>3511</v>
      </c>
      <c r="E304" s="26" t="s">
        <v>3525</v>
      </c>
      <c r="F304" s="26" t="s">
        <v>3519</v>
      </c>
      <c r="G304" s="29" t="s">
        <v>3526</v>
      </c>
      <c r="H304" s="26" t="s">
        <v>60</v>
      </c>
      <c r="I304" s="26" t="s">
        <v>19</v>
      </c>
      <c r="J304" s="32">
        <f t="shared" si="39"/>
        <v>5165.45</v>
      </c>
      <c r="K304" s="32">
        <v>52.710299999999997</v>
      </c>
      <c r="L304" s="33">
        <f t="shared" si="37"/>
        <v>97.996975923111805</v>
      </c>
      <c r="M304" s="26">
        <v>36</v>
      </c>
      <c r="N304" s="37">
        <f>IF(AND(J304&lt;&gt;0,M304&lt;&gt;0),J304/M304,0)</f>
        <v>143.48472222222222</v>
      </c>
      <c r="O304" s="38">
        <f t="shared" ca="1" si="38"/>
        <v>70</v>
      </c>
      <c r="P304" s="36">
        <f t="shared" ca="1" si="35"/>
        <v>-4878.4805555555549</v>
      </c>
      <c r="Q304" s="36">
        <f t="shared" ca="1" si="36"/>
        <v>1</v>
      </c>
      <c r="R304" s="49" t="s">
        <v>2886</v>
      </c>
    </row>
    <row r="305" spans="2:18" s="5" customFormat="1" ht="35.25" customHeight="1" x14ac:dyDescent="0.25">
      <c r="B305" s="27">
        <v>43754</v>
      </c>
      <c r="C305" s="24" t="s">
        <v>2349</v>
      </c>
      <c r="D305" s="26" t="s">
        <v>3511</v>
      </c>
      <c r="E305" s="26" t="s">
        <v>3527</v>
      </c>
      <c r="F305" s="26" t="s">
        <v>3519</v>
      </c>
      <c r="G305" s="29" t="s">
        <v>3528</v>
      </c>
      <c r="H305" s="26" t="s">
        <v>60</v>
      </c>
      <c r="I305" s="26" t="s">
        <v>19</v>
      </c>
      <c r="J305" s="32">
        <f t="shared" si="39"/>
        <v>5165.45</v>
      </c>
      <c r="K305" s="32">
        <v>52.710299999999997</v>
      </c>
      <c r="L305" s="33">
        <f t="shared" si="37"/>
        <v>97.996975923111805</v>
      </c>
      <c r="M305" s="26">
        <v>36</v>
      </c>
      <c r="N305" s="37">
        <f>IF(AND(J305&lt;&gt;0,M305&lt;&gt;0),J305/M305,0)</f>
        <v>143.48472222222222</v>
      </c>
      <c r="O305" s="38">
        <f t="shared" ca="1" si="38"/>
        <v>70</v>
      </c>
      <c r="P305" s="36">
        <f t="shared" ca="1" si="35"/>
        <v>-4878.4805555555549</v>
      </c>
      <c r="Q305" s="36">
        <f t="shared" ca="1" si="36"/>
        <v>1</v>
      </c>
      <c r="R305" s="49" t="s">
        <v>2886</v>
      </c>
    </row>
    <row r="306" spans="2:18" s="5" customFormat="1" ht="46.9" customHeight="1" x14ac:dyDescent="0.25">
      <c r="B306" s="27">
        <v>43754</v>
      </c>
      <c r="C306" s="24" t="s">
        <v>2349</v>
      </c>
      <c r="D306" s="26" t="s">
        <v>3511</v>
      </c>
      <c r="E306" s="26" t="s">
        <v>3529</v>
      </c>
      <c r="F306" s="26" t="s">
        <v>3519</v>
      </c>
      <c r="G306" s="29" t="s">
        <v>3530</v>
      </c>
      <c r="H306" s="26" t="s">
        <v>60</v>
      </c>
      <c r="I306" s="26" t="s">
        <v>19</v>
      </c>
      <c r="J306" s="32">
        <f t="shared" si="39"/>
        <v>5165.45</v>
      </c>
      <c r="K306" s="32">
        <v>52.710299999999997</v>
      </c>
      <c r="L306" s="33">
        <f t="shared" si="37"/>
        <v>97.996975923111805</v>
      </c>
      <c r="M306" s="26">
        <v>36</v>
      </c>
      <c r="N306" s="37">
        <f>IF(AND(J306&lt;&gt;0,M306&lt;&gt;0),J306/M306,0)</f>
        <v>143.48472222222222</v>
      </c>
      <c r="O306" s="38">
        <f t="shared" ca="1" si="38"/>
        <v>70</v>
      </c>
      <c r="P306" s="36">
        <f t="shared" ca="1" si="35"/>
        <v>-4878.4805555555549</v>
      </c>
      <c r="Q306" s="36">
        <f t="shared" ca="1" si="36"/>
        <v>1</v>
      </c>
      <c r="R306" s="49" t="s">
        <v>2886</v>
      </c>
    </row>
    <row r="307" spans="2:18" s="5" customFormat="1" ht="51.75" customHeight="1" x14ac:dyDescent="0.25">
      <c r="B307" s="27">
        <v>43818</v>
      </c>
      <c r="C307" s="24" t="s">
        <v>2349</v>
      </c>
      <c r="D307" s="26" t="s">
        <v>3531</v>
      </c>
      <c r="E307" s="26" t="s">
        <v>3532</v>
      </c>
      <c r="F307" s="26" t="s">
        <v>3533</v>
      </c>
      <c r="G307" s="29" t="s">
        <v>28</v>
      </c>
      <c r="H307" s="26" t="s">
        <v>3534</v>
      </c>
      <c r="I307" s="26" t="s">
        <v>19</v>
      </c>
      <c r="J307" s="32">
        <v>22490.799999999999</v>
      </c>
      <c r="K307" s="32">
        <v>52.850299999999997</v>
      </c>
      <c r="L307" s="33">
        <f t="shared" si="37"/>
        <v>425.55671396378074</v>
      </c>
      <c r="M307" s="26">
        <v>36</v>
      </c>
      <c r="N307" s="37">
        <f>IF(AND(J307&lt;&gt;0,M307&lt;&gt;0),J307/M307,0)</f>
        <v>624.74444444444441</v>
      </c>
      <c r="O307" s="38">
        <f t="shared" ca="1" si="38"/>
        <v>68</v>
      </c>
      <c r="P307" s="36">
        <f t="shared" ca="1" si="35"/>
        <v>-19991.822222222221</v>
      </c>
      <c r="Q307" s="36">
        <f t="shared" ca="1" si="36"/>
        <v>1</v>
      </c>
      <c r="R307" s="49" t="s">
        <v>2652</v>
      </c>
    </row>
    <row r="308" spans="2:18" s="5" customFormat="1" ht="60" customHeight="1" x14ac:dyDescent="0.25">
      <c r="B308" s="27">
        <v>43818</v>
      </c>
      <c r="C308" s="24" t="s">
        <v>2349</v>
      </c>
      <c r="D308" s="26" t="s">
        <v>3535</v>
      </c>
      <c r="E308" s="26" t="s">
        <v>3540</v>
      </c>
      <c r="F308" s="26" t="s">
        <v>3536</v>
      </c>
      <c r="G308" s="29" t="s">
        <v>3537</v>
      </c>
      <c r="H308" s="26" t="s">
        <v>3009</v>
      </c>
      <c r="I308" s="26" t="s">
        <v>3541</v>
      </c>
      <c r="J308" s="32">
        <v>2548.8000000000002</v>
      </c>
      <c r="K308" s="32">
        <v>52.850299999999997</v>
      </c>
      <c r="L308" s="33">
        <f t="shared" ref="L308:L327" si="40">+J308/K308</f>
        <v>48.226783953922691</v>
      </c>
      <c r="M308" s="26">
        <v>36</v>
      </c>
      <c r="N308" s="37">
        <f t="shared" ref="N308:N327" si="41">IF(AND(J308&lt;&gt;0,M308&lt;&gt;0),J308/M308,0)</f>
        <v>70.800000000000011</v>
      </c>
      <c r="O308" s="38">
        <f t="shared" ca="1" si="38"/>
        <v>68</v>
      </c>
      <c r="P308" s="36">
        <f t="shared" ca="1" si="35"/>
        <v>-2265.6000000000004</v>
      </c>
      <c r="Q308" s="36">
        <f t="shared" ca="1" si="36"/>
        <v>1</v>
      </c>
      <c r="R308" s="49" t="s">
        <v>3539</v>
      </c>
    </row>
    <row r="309" spans="2:18" s="5" customFormat="1" ht="62.25" customHeight="1" x14ac:dyDescent="0.25">
      <c r="B309" s="27">
        <v>43818</v>
      </c>
      <c r="C309" s="24" t="s">
        <v>2349</v>
      </c>
      <c r="D309" s="26" t="s">
        <v>3535</v>
      </c>
      <c r="E309" s="26" t="s">
        <v>3542</v>
      </c>
      <c r="F309" s="26" t="s">
        <v>3536</v>
      </c>
      <c r="G309" s="29" t="s">
        <v>3537</v>
      </c>
      <c r="H309" s="26" t="s">
        <v>3009</v>
      </c>
      <c r="I309" s="26" t="s">
        <v>3541</v>
      </c>
      <c r="J309" s="32">
        <v>2548.8000000000002</v>
      </c>
      <c r="K309" s="32">
        <v>52.850299999999997</v>
      </c>
      <c r="L309" s="33">
        <f t="shared" si="40"/>
        <v>48.226783953922691</v>
      </c>
      <c r="M309" s="26">
        <v>36</v>
      </c>
      <c r="N309" s="37">
        <f t="shared" si="41"/>
        <v>70.800000000000011</v>
      </c>
      <c r="O309" s="38">
        <f t="shared" ca="1" si="38"/>
        <v>68</v>
      </c>
      <c r="P309" s="36">
        <f t="shared" ca="1" si="35"/>
        <v>-2265.6000000000004</v>
      </c>
      <c r="Q309" s="36">
        <f t="shared" ca="1" si="36"/>
        <v>1</v>
      </c>
      <c r="R309" s="49" t="s">
        <v>3539</v>
      </c>
    </row>
    <row r="310" spans="2:18" s="5" customFormat="1" ht="57" customHeight="1" x14ac:dyDescent="0.25">
      <c r="B310" s="27">
        <v>43819</v>
      </c>
      <c r="C310" s="24" t="s">
        <v>2349</v>
      </c>
      <c r="D310" s="26" t="s">
        <v>3543</v>
      </c>
      <c r="E310" s="26" t="s">
        <v>3545</v>
      </c>
      <c r="F310" s="26" t="s">
        <v>3546</v>
      </c>
      <c r="G310" s="29" t="s">
        <v>28</v>
      </c>
      <c r="H310" s="26" t="s">
        <v>4387</v>
      </c>
      <c r="I310" s="26" t="s">
        <v>3538</v>
      </c>
      <c r="J310" s="32">
        <f>18950+3411</f>
        <v>22361</v>
      </c>
      <c r="K310" s="32">
        <v>52.852400000000003</v>
      </c>
      <c r="L310" s="33">
        <f t="shared" si="40"/>
        <v>423.083909150767</v>
      </c>
      <c r="M310" s="26">
        <v>36</v>
      </c>
      <c r="N310" s="37">
        <f t="shared" si="41"/>
        <v>621.13888888888891</v>
      </c>
      <c r="O310" s="38">
        <f t="shared" ca="1" si="38"/>
        <v>68</v>
      </c>
      <c r="P310" s="36">
        <f t="shared" ca="1" si="35"/>
        <v>-19876.444444444445</v>
      </c>
      <c r="Q310" s="36">
        <f t="shared" ca="1" si="36"/>
        <v>1</v>
      </c>
      <c r="R310" s="49" t="s">
        <v>3544</v>
      </c>
    </row>
    <row r="311" spans="2:18" s="5" customFormat="1" ht="63" customHeight="1" x14ac:dyDescent="0.25">
      <c r="B311" s="27">
        <v>43819</v>
      </c>
      <c r="C311" s="24" t="s">
        <v>2349</v>
      </c>
      <c r="D311" s="26" t="s">
        <v>3543</v>
      </c>
      <c r="E311" s="26" t="s">
        <v>3547</v>
      </c>
      <c r="F311" s="26" t="s">
        <v>3546</v>
      </c>
      <c r="G311" s="29" t="s">
        <v>28</v>
      </c>
      <c r="H311" s="26" t="s">
        <v>4387</v>
      </c>
      <c r="I311" s="26" t="s">
        <v>3538</v>
      </c>
      <c r="J311" s="32">
        <f>18950+3411</f>
        <v>22361</v>
      </c>
      <c r="K311" s="32">
        <v>52.852400000000003</v>
      </c>
      <c r="L311" s="33">
        <f t="shared" si="40"/>
        <v>423.083909150767</v>
      </c>
      <c r="M311" s="26">
        <v>36</v>
      </c>
      <c r="N311" s="37">
        <f t="shared" si="41"/>
        <v>621.13888888888891</v>
      </c>
      <c r="O311" s="38">
        <f t="shared" ca="1" si="38"/>
        <v>68</v>
      </c>
      <c r="P311" s="36">
        <f t="shared" ca="1" si="35"/>
        <v>-19876.444444444445</v>
      </c>
      <c r="Q311" s="36">
        <f t="shared" ca="1" si="36"/>
        <v>1</v>
      </c>
      <c r="R311" s="49" t="s">
        <v>3544</v>
      </c>
    </row>
    <row r="312" spans="2:18" s="5" customFormat="1" ht="54" customHeight="1" x14ac:dyDescent="0.25">
      <c r="B312" s="27">
        <v>43819</v>
      </c>
      <c r="C312" s="24" t="s">
        <v>2349</v>
      </c>
      <c r="D312" s="26" t="s">
        <v>3543</v>
      </c>
      <c r="E312" s="26" t="s">
        <v>3548</v>
      </c>
      <c r="F312" s="26" t="s">
        <v>3079</v>
      </c>
      <c r="G312" s="29" t="s">
        <v>28</v>
      </c>
      <c r="H312" s="26" t="s">
        <v>4387</v>
      </c>
      <c r="I312" s="26" t="s">
        <v>3538</v>
      </c>
      <c r="J312" s="32">
        <f>4950+891</f>
        <v>5841</v>
      </c>
      <c r="K312" s="32">
        <v>52.852400000000003</v>
      </c>
      <c r="L312" s="33">
        <f t="shared" si="40"/>
        <v>110.51532191537186</v>
      </c>
      <c r="M312" s="26">
        <v>36</v>
      </c>
      <c r="N312" s="37">
        <f t="shared" si="41"/>
        <v>162.25</v>
      </c>
      <c r="O312" s="38">
        <f t="shared" ca="1" si="38"/>
        <v>68</v>
      </c>
      <c r="P312" s="36">
        <f t="shared" ca="1" si="35"/>
        <v>-5192</v>
      </c>
      <c r="Q312" s="36">
        <f t="shared" ca="1" si="36"/>
        <v>1</v>
      </c>
      <c r="R312" s="49" t="s">
        <v>3544</v>
      </c>
    </row>
    <row r="313" spans="2:18" s="5" customFormat="1" ht="51" customHeight="1" x14ac:dyDescent="0.25">
      <c r="B313" s="27">
        <v>43819</v>
      </c>
      <c r="C313" s="24" t="s">
        <v>2349</v>
      </c>
      <c r="D313" s="26" t="s">
        <v>3543</v>
      </c>
      <c r="E313" s="26" t="s">
        <v>3549</v>
      </c>
      <c r="F313" s="26" t="s">
        <v>3079</v>
      </c>
      <c r="G313" s="29" t="s">
        <v>28</v>
      </c>
      <c r="H313" s="26" t="s">
        <v>4387</v>
      </c>
      <c r="I313" s="26" t="s">
        <v>3538</v>
      </c>
      <c r="J313" s="32">
        <f>4950+891</f>
        <v>5841</v>
      </c>
      <c r="K313" s="32">
        <v>52.852400000000003</v>
      </c>
      <c r="L313" s="33">
        <f t="shared" si="40"/>
        <v>110.51532191537186</v>
      </c>
      <c r="M313" s="26">
        <v>36</v>
      </c>
      <c r="N313" s="37">
        <f t="shared" si="41"/>
        <v>162.25</v>
      </c>
      <c r="O313" s="38">
        <f t="shared" ca="1" si="38"/>
        <v>68</v>
      </c>
      <c r="P313" s="36">
        <f t="shared" ca="1" si="35"/>
        <v>-5192</v>
      </c>
      <c r="Q313" s="36">
        <f t="shared" ca="1" si="36"/>
        <v>1</v>
      </c>
      <c r="R313" s="49" t="s">
        <v>3544</v>
      </c>
    </row>
    <row r="314" spans="2:18" s="5" customFormat="1" ht="60.75" customHeight="1" x14ac:dyDescent="0.25">
      <c r="B314" s="27">
        <v>43819</v>
      </c>
      <c r="C314" s="24" t="s">
        <v>2349</v>
      </c>
      <c r="D314" s="26" t="s">
        <v>3543</v>
      </c>
      <c r="E314" s="26" t="s">
        <v>3550</v>
      </c>
      <c r="F314" s="26" t="s">
        <v>3551</v>
      </c>
      <c r="G314" s="29" t="s">
        <v>28</v>
      </c>
      <c r="H314" s="26" t="s">
        <v>4387</v>
      </c>
      <c r="I314" s="26" t="s">
        <v>3538</v>
      </c>
      <c r="J314" s="32">
        <v>528050</v>
      </c>
      <c r="K314" s="32">
        <v>52.852400000000003</v>
      </c>
      <c r="L314" s="33">
        <f t="shared" si="40"/>
        <v>9991.0316277028087</v>
      </c>
      <c r="M314" s="26">
        <v>36</v>
      </c>
      <c r="N314" s="37">
        <f t="shared" si="41"/>
        <v>14668.055555555555</v>
      </c>
      <c r="O314" s="38">
        <f t="shared" ca="1" si="38"/>
        <v>68</v>
      </c>
      <c r="P314" s="36">
        <f t="shared" ca="1" si="35"/>
        <v>-469377.77777777775</v>
      </c>
      <c r="Q314" s="36">
        <f t="shared" ca="1" si="36"/>
        <v>1</v>
      </c>
      <c r="R314" s="49" t="s">
        <v>3544</v>
      </c>
    </row>
    <row r="315" spans="2:18" s="5" customFormat="1" ht="60" customHeight="1" x14ac:dyDescent="0.25">
      <c r="B315" s="27">
        <v>43819</v>
      </c>
      <c r="C315" s="24" t="s">
        <v>2349</v>
      </c>
      <c r="D315" s="26" t="s">
        <v>3543</v>
      </c>
      <c r="E315" s="26" t="s">
        <v>3552</v>
      </c>
      <c r="F315" s="26" t="s">
        <v>3553</v>
      </c>
      <c r="G315" s="29" t="s">
        <v>3554</v>
      </c>
      <c r="H315" s="26" t="s">
        <v>4387</v>
      </c>
      <c r="I315" s="26" t="s">
        <v>3538</v>
      </c>
      <c r="J315" s="32">
        <v>3481</v>
      </c>
      <c r="K315" s="32">
        <v>52.852400000000003</v>
      </c>
      <c r="L315" s="33">
        <f t="shared" si="40"/>
        <v>65.862666596029698</v>
      </c>
      <c r="M315" s="26">
        <v>36</v>
      </c>
      <c r="N315" s="37">
        <f t="shared" si="41"/>
        <v>96.694444444444443</v>
      </c>
      <c r="O315" s="38">
        <f t="shared" ca="1" si="38"/>
        <v>68</v>
      </c>
      <c r="P315" s="36">
        <f t="shared" ca="1" si="35"/>
        <v>-3094.2222222222217</v>
      </c>
      <c r="Q315" s="36">
        <f t="shared" ca="1" si="36"/>
        <v>1</v>
      </c>
      <c r="R315" s="49" t="s">
        <v>3544</v>
      </c>
    </row>
    <row r="316" spans="2:18" s="5" customFormat="1" ht="51" customHeight="1" x14ac:dyDescent="0.25">
      <c r="B316" s="27">
        <v>43819</v>
      </c>
      <c r="C316" s="24" t="s">
        <v>2349</v>
      </c>
      <c r="D316" s="26" t="s">
        <v>3543</v>
      </c>
      <c r="E316" s="26" t="s">
        <v>3555</v>
      </c>
      <c r="F316" s="26" t="s">
        <v>3553</v>
      </c>
      <c r="G316" s="29" t="s">
        <v>28</v>
      </c>
      <c r="H316" s="26" t="s">
        <v>4387</v>
      </c>
      <c r="I316" s="26" t="s">
        <v>3538</v>
      </c>
      <c r="J316" s="32">
        <v>3481</v>
      </c>
      <c r="K316" s="32">
        <v>52.852400000000003</v>
      </c>
      <c r="L316" s="33">
        <f t="shared" si="40"/>
        <v>65.862666596029698</v>
      </c>
      <c r="M316" s="26">
        <v>36</v>
      </c>
      <c r="N316" s="37">
        <f t="shared" si="41"/>
        <v>96.694444444444443</v>
      </c>
      <c r="O316" s="38">
        <f t="shared" ca="1" si="38"/>
        <v>68</v>
      </c>
      <c r="P316" s="36">
        <f t="shared" ca="1" si="35"/>
        <v>-3094.2222222222217</v>
      </c>
      <c r="Q316" s="36">
        <f t="shared" ca="1" si="36"/>
        <v>1</v>
      </c>
      <c r="R316" s="49" t="s">
        <v>3544</v>
      </c>
    </row>
    <row r="317" spans="2:18" s="5" customFormat="1" ht="57" customHeight="1" x14ac:dyDescent="0.25">
      <c r="B317" s="27">
        <v>43819</v>
      </c>
      <c r="C317" s="24" t="s">
        <v>2349</v>
      </c>
      <c r="D317" s="26" t="s">
        <v>3543</v>
      </c>
      <c r="E317" s="26" t="s">
        <v>3556</v>
      </c>
      <c r="F317" s="26" t="s">
        <v>3553</v>
      </c>
      <c r="G317" s="29" t="s">
        <v>28</v>
      </c>
      <c r="H317" s="26" t="s">
        <v>4387</v>
      </c>
      <c r="I317" s="26" t="s">
        <v>3538</v>
      </c>
      <c r="J317" s="32">
        <v>3481</v>
      </c>
      <c r="K317" s="32">
        <v>52.852400000000003</v>
      </c>
      <c r="L317" s="33">
        <f t="shared" si="40"/>
        <v>65.862666596029698</v>
      </c>
      <c r="M317" s="26">
        <v>36</v>
      </c>
      <c r="N317" s="37">
        <f t="shared" si="41"/>
        <v>96.694444444444443</v>
      </c>
      <c r="O317" s="38">
        <f t="shared" ca="1" si="38"/>
        <v>68</v>
      </c>
      <c r="P317" s="36">
        <f t="shared" ca="1" si="35"/>
        <v>-3094.2222222222217</v>
      </c>
      <c r="Q317" s="36">
        <f t="shared" ca="1" si="36"/>
        <v>1</v>
      </c>
      <c r="R317" s="49" t="s">
        <v>3544</v>
      </c>
    </row>
    <row r="318" spans="2:18" s="5" customFormat="1" ht="60" customHeight="1" x14ac:dyDescent="0.25">
      <c r="B318" s="27">
        <v>43819</v>
      </c>
      <c r="C318" s="24" t="s">
        <v>2349</v>
      </c>
      <c r="D318" s="26" t="s">
        <v>3543</v>
      </c>
      <c r="E318" s="26" t="s">
        <v>3557</v>
      </c>
      <c r="F318" s="26" t="s">
        <v>3553</v>
      </c>
      <c r="G318" s="29" t="s">
        <v>28</v>
      </c>
      <c r="H318" s="26" t="s">
        <v>4387</v>
      </c>
      <c r="I318" s="26" t="s">
        <v>3538</v>
      </c>
      <c r="J318" s="32">
        <v>3481</v>
      </c>
      <c r="K318" s="32">
        <v>52.852400000000003</v>
      </c>
      <c r="L318" s="33">
        <f t="shared" si="40"/>
        <v>65.862666596029698</v>
      </c>
      <c r="M318" s="26">
        <v>36</v>
      </c>
      <c r="N318" s="37">
        <f t="shared" si="41"/>
        <v>96.694444444444443</v>
      </c>
      <c r="O318" s="38">
        <f t="shared" ca="1" si="38"/>
        <v>68</v>
      </c>
      <c r="P318" s="36">
        <f t="shared" ca="1" si="35"/>
        <v>-3094.2222222222217</v>
      </c>
      <c r="Q318" s="36">
        <f t="shared" ca="1" si="36"/>
        <v>1</v>
      </c>
      <c r="R318" s="49" t="s">
        <v>3544</v>
      </c>
    </row>
    <row r="319" spans="2:18" s="5" customFormat="1" ht="59.25" customHeight="1" x14ac:dyDescent="0.25">
      <c r="B319" s="27">
        <v>43819</v>
      </c>
      <c r="C319" s="24" t="s">
        <v>2349</v>
      </c>
      <c r="D319" s="26" t="s">
        <v>3543</v>
      </c>
      <c r="E319" s="26" t="s">
        <v>3558</v>
      </c>
      <c r="F319" s="26" t="s">
        <v>3553</v>
      </c>
      <c r="G319" s="29" t="s">
        <v>28</v>
      </c>
      <c r="H319" s="26" t="s">
        <v>4387</v>
      </c>
      <c r="I319" s="26" t="s">
        <v>3538</v>
      </c>
      <c r="J319" s="32">
        <v>3481</v>
      </c>
      <c r="K319" s="32">
        <v>52.852400000000003</v>
      </c>
      <c r="L319" s="33">
        <f t="shared" si="40"/>
        <v>65.862666596029698</v>
      </c>
      <c r="M319" s="26">
        <v>36</v>
      </c>
      <c r="N319" s="37">
        <f t="shared" si="41"/>
        <v>96.694444444444443</v>
      </c>
      <c r="O319" s="38">
        <f t="shared" ca="1" si="38"/>
        <v>68</v>
      </c>
      <c r="P319" s="36">
        <f t="shared" ca="1" si="35"/>
        <v>-3094.2222222222217</v>
      </c>
      <c r="Q319" s="36">
        <f t="shared" ca="1" si="36"/>
        <v>1</v>
      </c>
      <c r="R319" s="49" t="s">
        <v>3544</v>
      </c>
    </row>
    <row r="320" spans="2:18" s="5" customFormat="1" ht="56.25" customHeight="1" x14ac:dyDescent="0.25">
      <c r="B320" s="27">
        <v>43819</v>
      </c>
      <c r="C320" s="24" t="s">
        <v>2349</v>
      </c>
      <c r="D320" s="26" t="s">
        <v>3543</v>
      </c>
      <c r="E320" s="26" t="s">
        <v>3559</v>
      </c>
      <c r="F320" s="26" t="s">
        <v>3560</v>
      </c>
      <c r="G320" s="29" t="s">
        <v>28</v>
      </c>
      <c r="H320" s="26" t="s">
        <v>4387</v>
      </c>
      <c r="I320" s="26" t="s">
        <v>3538</v>
      </c>
      <c r="J320" s="32">
        <v>3481</v>
      </c>
      <c r="K320" s="32">
        <v>52.852400000000003</v>
      </c>
      <c r="L320" s="33">
        <f t="shared" si="40"/>
        <v>65.862666596029698</v>
      </c>
      <c r="M320" s="26">
        <v>36</v>
      </c>
      <c r="N320" s="37">
        <f t="shared" si="41"/>
        <v>96.694444444444443</v>
      </c>
      <c r="O320" s="38">
        <f t="shared" ca="1" si="38"/>
        <v>68</v>
      </c>
      <c r="P320" s="36">
        <f t="shared" ca="1" si="35"/>
        <v>-3094.2222222222217</v>
      </c>
      <c r="Q320" s="36">
        <f t="shared" ca="1" si="36"/>
        <v>1</v>
      </c>
      <c r="R320" s="49" t="s">
        <v>3544</v>
      </c>
    </row>
    <row r="321" spans="2:18" s="5" customFormat="1" ht="61.5" customHeight="1" x14ac:dyDescent="0.25">
      <c r="B321" s="27">
        <v>43819</v>
      </c>
      <c r="C321" s="24" t="s">
        <v>2349</v>
      </c>
      <c r="D321" s="26" t="s">
        <v>3543</v>
      </c>
      <c r="E321" s="26" t="s">
        <v>3561</v>
      </c>
      <c r="F321" s="26" t="s">
        <v>3560</v>
      </c>
      <c r="G321" s="29" t="s">
        <v>28</v>
      </c>
      <c r="H321" s="26" t="s">
        <v>4387</v>
      </c>
      <c r="I321" s="26" t="s">
        <v>3538</v>
      </c>
      <c r="J321" s="32">
        <v>3481</v>
      </c>
      <c r="K321" s="32">
        <v>52.852400000000003</v>
      </c>
      <c r="L321" s="33">
        <f t="shared" si="40"/>
        <v>65.862666596029698</v>
      </c>
      <c r="M321" s="26">
        <v>36</v>
      </c>
      <c r="N321" s="37">
        <f t="shared" si="41"/>
        <v>96.694444444444443</v>
      </c>
      <c r="O321" s="38">
        <f t="shared" ca="1" si="38"/>
        <v>68</v>
      </c>
      <c r="P321" s="36">
        <f t="shared" ca="1" si="35"/>
        <v>-3094.2222222222217</v>
      </c>
      <c r="Q321" s="36">
        <f t="shared" ref="Q321:Q377" ca="1" si="42">IF(P321&lt;1,1,P321)</f>
        <v>1</v>
      </c>
      <c r="R321" s="49" t="s">
        <v>3544</v>
      </c>
    </row>
    <row r="322" spans="2:18" s="5" customFormat="1" ht="51.75" customHeight="1" x14ac:dyDescent="0.25">
      <c r="B322" s="27">
        <v>43819</v>
      </c>
      <c r="C322" s="24" t="s">
        <v>2349</v>
      </c>
      <c r="D322" s="26" t="s">
        <v>3543</v>
      </c>
      <c r="E322" s="26" t="s">
        <v>3562</v>
      </c>
      <c r="F322" s="26" t="s">
        <v>3563</v>
      </c>
      <c r="G322" s="29" t="s">
        <v>28</v>
      </c>
      <c r="H322" s="26" t="s">
        <v>4387</v>
      </c>
      <c r="I322" s="26" t="s">
        <v>3538</v>
      </c>
      <c r="J322" s="32">
        <v>8071.2</v>
      </c>
      <c r="K322" s="32">
        <v>52.852400000000003</v>
      </c>
      <c r="L322" s="33">
        <f t="shared" si="40"/>
        <v>152.71208119215021</v>
      </c>
      <c r="M322" s="26">
        <v>36</v>
      </c>
      <c r="N322" s="37">
        <f t="shared" si="41"/>
        <v>224.2</v>
      </c>
      <c r="O322" s="38">
        <f t="shared" ca="1" si="38"/>
        <v>68</v>
      </c>
      <c r="P322" s="36">
        <f t="shared" ca="1" si="35"/>
        <v>-7174.3999999999987</v>
      </c>
      <c r="Q322" s="36">
        <f t="shared" ca="1" si="42"/>
        <v>1</v>
      </c>
      <c r="R322" s="49" t="s">
        <v>3544</v>
      </c>
    </row>
    <row r="323" spans="2:18" s="5" customFormat="1" ht="78" customHeight="1" x14ac:dyDescent="0.25">
      <c r="B323" s="27">
        <v>43819</v>
      </c>
      <c r="C323" s="24" t="s">
        <v>2349</v>
      </c>
      <c r="D323" s="26" t="s">
        <v>3543</v>
      </c>
      <c r="E323" s="26" t="s">
        <v>3564</v>
      </c>
      <c r="F323" s="26" t="s">
        <v>3565</v>
      </c>
      <c r="G323" s="29" t="s">
        <v>28</v>
      </c>
      <c r="H323" s="26" t="s">
        <v>4387</v>
      </c>
      <c r="I323" s="26" t="s">
        <v>3538</v>
      </c>
      <c r="J323" s="32">
        <v>55224</v>
      </c>
      <c r="K323" s="32">
        <v>52.852400000000003</v>
      </c>
      <c r="L323" s="33">
        <f t="shared" si="40"/>
        <v>1044.8721344726066</v>
      </c>
      <c r="M323" s="26">
        <v>36</v>
      </c>
      <c r="N323" s="37">
        <f t="shared" si="41"/>
        <v>1534</v>
      </c>
      <c r="O323" s="38">
        <f t="shared" ca="1" si="38"/>
        <v>68</v>
      </c>
      <c r="P323" s="36">
        <f t="shared" ca="1" si="35"/>
        <v>-49088</v>
      </c>
      <c r="Q323" s="36">
        <f t="shared" ca="1" si="42"/>
        <v>1</v>
      </c>
      <c r="R323" s="49" t="s">
        <v>3544</v>
      </c>
    </row>
    <row r="324" spans="2:18" s="5" customFormat="1" ht="54" customHeight="1" x14ac:dyDescent="0.25">
      <c r="B324" s="27">
        <v>43819</v>
      </c>
      <c r="C324" s="24" t="s">
        <v>2349</v>
      </c>
      <c r="D324" s="26" t="s">
        <v>3543</v>
      </c>
      <c r="E324" s="26" t="s">
        <v>3566</v>
      </c>
      <c r="F324" s="26" t="s">
        <v>3567</v>
      </c>
      <c r="G324" s="29" t="s">
        <v>28</v>
      </c>
      <c r="H324" s="26" t="s">
        <v>4387</v>
      </c>
      <c r="I324" s="26" t="s">
        <v>3538</v>
      </c>
      <c r="J324" s="32">
        <v>3481</v>
      </c>
      <c r="K324" s="32">
        <v>52.852400000000003</v>
      </c>
      <c r="L324" s="33">
        <f t="shared" si="40"/>
        <v>65.862666596029698</v>
      </c>
      <c r="M324" s="26">
        <v>36</v>
      </c>
      <c r="N324" s="37">
        <f t="shared" si="41"/>
        <v>96.694444444444443</v>
      </c>
      <c r="O324" s="38">
        <f t="shared" ca="1" si="38"/>
        <v>68</v>
      </c>
      <c r="P324" s="36">
        <f t="shared" ca="1" si="35"/>
        <v>-3094.2222222222217</v>
      </c>
      <c r="Q324" s="36">
        <f t="shared" ca="1" si="42"/>
        <v>1</v>
      </c>
      <c r="R324" s="49" t="s">
        <v>3544</v>
      </c>
    </row>
    <row r="325" spans="2:18" s="5" customFormat="1" ht="56.25" customHeight="1" x14ac:dyDescent="0.25">
      <c r="B325" s="27">
        <v>43819</v>
      </c>
      <c r="C325" s="24" t="s">
        <v>2349</v>
      </c>
      <c r="D325" s="26" t="s">
        <v>3543</v>
      </c>
      <c r="E325" s="26" t="s">
        <v>3568</v>
      </c>
      <c r="F325" s="26" t="s">
        <v>3567</v>
      </c>
      <c r="G325" s="29" t="s">
        <v>28</v>
      </c>
      <c r="H325" s="26" t="s">
        <v>4387</v>
      </c>
      <c r="I325" s="26" t="s">
        <v>3538</v>
      </c>
      <c r="J325" s="32">
        <v>3481</v>
      </c>
      <c r="K325" s="32">
        <v>52.852400000000003</v>
      </c>
      <c r="L325" s="33">
        <f t="shared" si="40"/>
        <v>65.862666596029698</v>
      </c>
      <c r="M325" s="26">
        <v>36</v>
      </c>
      <c r="N325" s="37">
        <f t="shared" si="41"/>
        <v>96.694444444444443</v>
      </c>
      <c r="O325" s="38">
        <f t="shared" ca="1" si="38"/>
        <v>68</v>
      </c>
      <c r="P325" s="36">
        <f t="shared" ca="1" si="35"/>
        <v>-3094.2222222222217</v>
      </c>
      <c r="Q325" s="36">
        <f t="shared" ca="1" si="42"/>
        <v>1</v>
      </c>
      <c r="R325" s="49" t="s">
        <v>3544</v>
      </c>
    </row>
    <row r="326" spans="2:18" s="5" customFormat="1" ht="55.5" customHeight="1" x14ac:dyDescent="0.25">
      <c r="B326" s="27">
        <v>43819</v>
      </c>
      <c r="C326" s="24" t="s">
        <v>2349</v>
      </c>
      <c r="D326" s="26" t="s">
        <v>3543</v>
      </c>
      <c r="E326" s="26" t="s">
        <v>3569</v>
      </c>
      <c r="F326" s="26" t="s">
        <v>3567</v>
      </c>
      <c r="G326" s="29" t="s">
        <v>28</v>
      </c>
      <c r="H326" s="26" t="s">
        <v>4387</v>
      </c>
      <c r="I326" s="26" t="s">
        <v>3538</v>
      </c>
      <c r="J326" s="32">
        <v>3481</v>
      </c>
      <c r="K326" s="32">
        <v>52.852400000000003</v>
      </c>
      <c r="L326" s="33">
        <f t="shared" si="40"/>
        <v>65.862666596029698</v>
      </c>
      <c r="M326" s="26">
        <v>36</v>
      </c>
      <c r="N326" s="37">
        <f t="shared" si="41"/>
        <v>96.694444444444443</v>
      </c>
      <c r="O326" s="38">
        <f t="shared" ca="1" si="38"/>
        <v>68</v>
      </c>
      <c r="P326" s="36">
        <f t="shared" ca="1" si="35"/>
        <v>-3094.2222222222217</v>
      </c>
      <c r="Q326" s="36">
        <f t="shared" ca="1" si="42"/>
        <v>1</v>
      </c>
      <c r="R326" s="49" t="s">
        <v>3544</v>
      </c>
    </row>
    <row r="327" spans="2:18" s="5" customFormat="1" ht="78" customHeight="1" x14ac:dyDescent="0.25">
      <c r="B327" s="27">
        <v>43886</v>
      </c>
      <c r="C327" s="24" t="s">
        <v>2349</v>
      </c>
      <c r="D327" s="26" t="s">
        <v>3570</v>
      </c>
      <c r="E327" s="26" t="s">
        <v>3571</v>
      </c>
      <c r="F327" s="26" t="s">
        <v>3572</v>
      </c>
      <c r="G327" s="29" t="s">
        <v>28</v>
      </c>
      <c r="H327" s="26" t="s">
        <v>60</v>
      </c>
      <c r="I327" s="26" t="s">
        <v>19</v>
      </c>
      <c r="J327" s="32">
        <f>37400+6732</f>
        <v>44132</v>
      </c>
      <c r="K327" s="32">
        <v>53.388800000000003</v>
      </c>
      <c r="L327" s="33">
        <f t="shared" si="40"/>
        <v>826.61532006713014</v>
      </c>
      <c r="M327" s="26">
        <v>36</v>
      </c>
      <c r="N327" s="37">
        <f t="shared" si="41"/>
        <v>1225.8888888888889</v>
      </c>
      <c r="O327" s="38">
        <f t="shared" ref="O327:O349" ca="1" si="43">IF(B327&lt;&gt;0,(ROUND((NOW()-B327)/30,0)),0)</f>
        <v>65</v>
      </c>
      <c r="P327" s="36">
        <f t="shared" ca="1" si="35"/>
        <v>-35550.777777777781</v>
      </c>
      <c r="Q327" s="36">
        <f t="shared" ca="1" si="42"/>
        <v>1</v>
      </c>
      <c r="R327" s="49" t="s">
        <v>3573</v>
      </c>
    </row>
    <row r="328" spans="2:18" s="5" customFormat="1" ht="78" customHeight="1" x14ac:dyDescent="0.25">
      <c r="B328" s="27">
        <v>43886</v>
      </c>
      <c r="C328" s="24" t="s">
        <v>2349</v>
      </c>
      <c r="D328" s="26" t="s">
        <v>3570</v>
      </c>
      <c r="E328" s="26" t="s">
        <v>3574</v>
      </c>
      <c r="F328" s="26" t="s">
        <v>3575</v>
      </c>
      <c r="G328" s="29" t="s">
        <v>28</v>
      </c>
      <c r="H328" s="26" t="s">
        <v>60</v>
      </c>
      <c r="I328" s="26" t="s">
        <v>19</v>
      </c>
      <c r="J328" s="32">
        <f>131400+23652</f>
        <v>155052</v>
      </c>
      <c r="K328" s="32">
        <v>53.388800000000003</v>
      </c>
      <c r="L328" s="33">
        <f t="shared" ref="L328:L349" si="44">+J328/K328</f>
        <v>2904.2046271877248</v>
      </c>
      <c r="M328" s="26">
        <v>36</v>
      </c>
      <c r="N328" s="37">
        <f t="shared" ref="N328:N349" si="45">IF(AND(J328&lt;&gt;0,M328&lt;&gt;0),J328/M328,0)</f>
        <v>4307</v>
      </c>
      <c r="O328" s="38">
        <f t="shared" ca="1" si="43"/>
        <v>65</v>
      </c>
      <c r="P328" s="36">
        <f t="shared" ca="1" si="35"/>
        <v>-124903</v>
      </c>
      <c r="Q328" s="36">
        <f t="shared" ca="1" si="42"/>
        <v>1</v>
      </c>
      <c r="R328" s="49" t="s">
        <v>3573</v>
      </c>
    </row>
    <row r="329" spans="2:18" s="5" customFormat="1" ht="81" customHeight="1" x14ac:dyDescent="0.25">
      <c r="B329" s="27">
        <v>43886</v>
      </c>
      <c r="C329" s="24" t="s">
        <v>2349</v>
      </c>
      <c r="D329" s="26" t="s">
        <v>3570</v>
      </c>
      <c r="E329" s="26" t="s">
        <v>3576</v>
      </c>
      <c r="F329" s="26" t="s">
        <v>3577</v>
      </c>
      <c r="G329" s="29" t="s">
        <v>28</v>
      </c>
      <c r="H329" s="26" t="s">
        <v>60</v>
      </c>
      <c r="I329" s="26" t="s">
        <v>19</v>
      </c>
      <c r="J329" s="32">
        <f>28777+5179.86</f>
        <v>33956.86</v>
      </c>
      <c r="K329" s="32">
        <v>53.388800000000003</v>
      </c>
      <c r="L329" s="33">
        <f t="shared" si="44"/>
        <v>636.0296541596739</v>
      </c>
      <c r="M329" s="26">
        <v>36</v>
      </c>
      <c r="N329" s="37">
        <f t="shared" si="45"/>
        <v>943.24611111111108</v>
      </c>
      <c r="O329" s="38">
        <f t="shared" ca="1" si="43"/>
        <v>65</v>
      </c>
      <c r="P329" s="36">
        <f t="shared" ref="P329:P392" ca="1" si="46">IF(OR(J329=0,M329=0,O329=0),0,J329-(N329*O329))</f>
        <v>-27354.13722222222</v>
      </c>
      <c r="Q329" s="36">
        <f t="shared" ca="1" si="42"/>
        <v>1</v>
      </c>
      <c r="R329" s="49" t="s">
        <v>3573</v>
      </c>
    </row>
    <row r="330" spans="2:18" s="5" customFormat="1" ht="67.5" customHeight="1" x14ac:dyDescent="0.25">
      <c r="B330" s="27">
        <v>43990</v>
      </c>
      <c r="C330" s="24" t="s">
        <v>2349</v>
      </c>
      <c r="D330" s="26" t="s">
        <v>3578</v>
      </c>
      <c r="E330" s="26" t="s">
        <v>3579</v>
      </c>
      <c r="F330" s="26" t="s">
        <v>3580</v>
      </c>
      <c r="G330" s="29" t="s">
        <v>3581</v>
      </c>
      <c r="H330" s="26" t="s">
        <v>60</v>
      </c>
      <c r="I330" s="26" t="s">
        <v>19</v>
      </c>
      <c r="J330" s="32">
        <f>73366.11+13205.9</f>
        <v>86572.01</v>
      </c>
      <c r="K330" s="32">
        <v>57.432899999999997</v>
      </c>
      <c r="L330" s="33">
        <f t="shared" si="44"/>
        <v>1507.3591965580704</v>
      </c>
      <c r="M330" s="26">
        <v>36</v>
      </c>
      <c r="N330" s="37">
        <f t="shared" si="45"/>
        <v>2404.7780555555555</v>
      </c>
      <c r="O330" s="38">
        <f t="shared" ca="1" si="43"/>
        <v>62</v>
      </c>
      <c r="P330" s="36">
        <f t="shared" ca="1" si="46"/>
        <v>-62524.229444444456</v>
      </c>
      <c r="Q330" s="36">
        <f t="shared" ca="1" si="42"/>
        <v>1</v>
      </c>
      <c r="R330" s="49" t="s">
        <v>2942</v>
      </c>
    </row>
    <row r="331" spans="2:18" s="5" customFormat="1" ht="31.5" customHeight="1" x14ac:dyDescent="0.25">
      <c r="B331" s="27">
        <v>43990</v>
      </c>
      <c r="C331" s="24" t="s">
        <v>2349</v>
      </c>
      <c r="D331" s="26" t="s">
        <v>3578</v>
      </c>
      <c r="E331" s="26" t="s">
        <v>3582</v>
      </c>
      <c r="F331" s="26" t="s">
        <v>3583</v>
      </c>
      <c r="G331" s="29" t="s">
        <v>3584</v>
      </c>
      <c r="H331" s="26" t="s">
        <v>60</v>
      </c>
      <c r="I331" s="26" t="s">
        <v>19</v>
      </c>
      <c r="J331" s="32">
        <f>7687.67+1383.78</f>
        <v>9071.4500000000007</v>
      </c>
      <c r="K331" s="32">
        <v>57.432899999999997</v>
      </c>
      <c r="L331" s="33">
        <f t="shared" si="44"/>
        <v>157.94866705320473</v>
      </c>
      <c r="M331" s="26">
        <v>36</v>
      </c>
      <c r="N331" s="37">
        <f t="shared" si="45"/>
        <v>251.98472222222225</v>
      </c>
      <c r="O331" s="38">
        <f t="shared" ca="1" si="43"/>
        <v>62</v>
      </c>
      <c r="P331" s="36">
        <f t="shared" ca="1" si="46"/>
        <v>-6551.6027777777781</v>
      </c>
      <c r="Q331" s="36">
        <f t="shared" ca="1" si="42"/>
        <v>1</v>
      </c>
      <c r="R331" s="49" t="s">
        <v>2942</v>
      </c>
    </row>
    <row r="332" spans="2:18" s="5" customFormat="1" ht="30.75" customHeight="1" x14ac:dyDescent="0.25">
      <c r="B332" s="27">
        <v>43990</v>
      </c>
      <c r="C332" s="24" t="s">
        <v>2349</v>
      </c>
      <c r="D332" s="26" t="s">
        <v>3578</v>
      </c>
      <c r="E332" s="26" t="s">
        <v>3585</v>
      </c>
      <c r="F332" s="26" t="s">
        <v>3583</v>
      </c>
      <c r="G332" s="29" t="s">
        <v>3586</v>
      </c>
      <c r="H332" s="26" t="s">
        <v>60</v>
      </c>
      <c r="I332" s="26" t="s">
        <v>19</v>
      </c>
      <c r="J332" s="32">
        <f>7687.67+1383.78</f>
        <v>9071.4500000000007</v>
      </c>
      <c r="K332" s="32">
        <v>57.432899999999997</v>
      </c>
      <c r="L332" s="33">
        <f t="shared" si="44"/>
        <v>157.94866705320473</v>
      </c>
      <c r="M332" s="26">
        <v>36</v>
      </c>
      <c r="N332" s="37">
        <f t="shared" si="45"/>
        <v>251.98472222222225</v>
      </c>
      <c r="O332" s="38">
        <f t="shared" ca="1" si="43"/>
        <v>62</v>
      </c>
      <c r="P332" s="36">
        <f t="shared" ca="1" si="46"/>
        <v>-6551.6027777777781</v>
      </c>
      <c r="Q332" s="36">
        <f t="shared" ca="1" si="42"/>
        <v>1</v>
      </c>
      <c r="R332" s="49" t="s">
        <v>2942</v>
      </c>
    </row>
    <row r="333" spans="2:18" s="5" customFormat="1" ht="26.25" customHeight="1" x14ac:dyDescent="0.25">
      <c r="B333" s="27">
        <v>43990</v>
      </c>
      <c r="C333" s="24" t="s">
        <v>2349</v>
      </c>
      <c r="D333" s="26" t="s">
        <v>3578</v>
      </c>
      <c r="E333" s="26" t="s">
        <v>3587</v>
      </c>
      <c r="F333" s="26" t="s">
        <v>3583</v>
      </c>
      <c r="G333" s="29" t="s">
        <v>3588</v>
      </c>
      <c r="H333" s="26" t="s">
        <v>60</v>
      </c>
      <c r="I333" s="26" t="s">
        <v>19</v>
      </c>
      <c r="J333" s="32">
        <f>7687.67+1383.78</f>
        <v>9071.4500000000007</v>
      </c>
      <c r="K333" s="32">
        <v>57.432899999999997</v>
      </c>
      <c r="L333" s="33">
        <f t="shared" si="44"/>
        <v>157.94866705320473</v>
      </c>
      <c r="M333" s="26">
        <v>36</v>
      </c>
      <c r="N333" s="37">
        <f t="shared" si="45"/>
        <v>251.98472222222225</v>
      </c>
      <c r="O333" s="38">
        <f t="shared" ca="1" si="43"/>
        <v>62</v>
      </c>
      <c r="P333" s="36">
        <f t="shared" ca="1" si="46"/>
        <v>-6551.6027777777781</v>
      </c>
      <c r="Q333" s="36">
        <f t="shared" ca="1" si="42"/>
        <v>1</v>
      </c>
      <c r="R333" s="49" t="s">
        <v>2942</v>
      </c>
    </row>
    <row r="334" spans="2:18" s="5" customFormat="1" ht="28.5" customHeight="1" x14ac:dyDescent="0.25">
      <c r="B334" s="27">
        <v>43990</v>
      </c>
      <c r="C334" s="24" t="s">
        <v>2349</v>
      </c>
      <c r="D334" s="26" t="s">
        <v>3578</v>
      </c>
      <c r="E334" s="26" t="s">
        <v>3589</v>
      </c>
      <c r="F334" s="26" t="s">
        <v>3590</v>
      </c>
      <c r="G334" s="29" t="s">
        <v>3591</v>
      </c>
      <c r="H334" s="26" t="s">
        <v>60</v>
      </c>
      <c r="I334" s="26" t="s">
        <v>19</v>
      </c>
      <c r="J334" s="32">
        <f>7995.18+1439.13</f>
        <v>9434.3100000000013</v>
      </c>
      <c r="K334" s="32">
        <v>57.432899999999997</v>
      </c>
      <c r="L334" s="33">
        <f t="shared" si="44"/>
        <v>164.26664855857882</v>
      </c>
      <c r="M334" s="26">
        <v>36</v>
      </c>
      <c r="N334" s="37">
        <f t="shared" si="45"/>
        <v>262.06416666666672</v>
      </c>
      <c r="O334" s="38">
        <f t="shared" ca="1" si="43"/>
        <v>62</v>
      </c>
      <c r="P334" s="36">
        <f t="shared" ca="1" si="46"/>
        <v>-6813.6683333333349</v>
      </c>
      <c r="Q334" s="36">
        <f t="shared" ca="1" si="42"/>
        <v>1</v>
      </c>
      <c r="R334" s="49" t="s">
        <v>2942</v>
      </c>
    </row>
    <row r="335" spans="2:18" s="5" customFormat="1" ht="25.5" customHeight="1" x14ac:dyDescent="0.25">
      <c r="B335" s="27">
        <v>43990</v>
      </c>
      <c r="C335" s="24" t="s">
        <v>2349</v>
      </c>
      <c r="D335" s="26" t="s">
        <v>3578</v>
      </c>
      <c r="E335" s="26" t="s">
        <v>3592</v>
      </c>
      <c r="F335" s="26" t="s">
        <v>3593</v>
      </c>
      <c r="G335" s="29" t="s">
        <v>3594</v>
      </c>
      <c r="H335" s="26" t="s">
        <v>60</v>
      </c>
      <c r="I335" s="26" t="s">
        <v>19</v>
      </c>
      <c r="J335" s="32">
        <f>64790.63+11662.31</f>
        <v>76452.94</v>
      </c>
      <c r="K335" s="32">
        <v>57.432899999999997</v>
      </c>
      <c r="L335" s="33">
        <f t="shared" si="44"/>
        <v>1331.1697650649717</v>
      </c>
      <c r="M335" s="26">
        <v>36</v>
      </c>
      <c r="N335" s="37">
        <f t="shared" si="45"/>
        <v>2123.6927777777778</v>
      </c>
      <c r="O335" s="38">
        <f t="shared" ca="1" si="43"/>
        <v>62</v>
      </c>
      <c r="P335" s="36">
        <f t="shared" ca="1" si="46"/>
        <v>-55216.012222222227</v>
      </c>
      <c r="Q335" s="36">
        <f t="shared" ca="1" si="42"/>
        <v>1</v>
      </c>
      <c r="R335" s="49" t="s">
        <v>2942</v>
      </c>
    </row>
    <row r="336" spans="2:18" s="5" customFormat="1" ht="33.75" customHeight="1" x14ac:dyDescent="0.25">
      <c r="B336" s="27">
        <v>43990</v>
      </c>
      <c r="C336" s="24" t="s">
        <v>2349</v>
      </c>
      <c r="D336" s="26" t="s">
        <v>3578</v>
      </c>
      <c r="E336" s="26" t="s">
        <v>3595</v>
      </c>
      <c r="F336" s="26" t="s">
        <v>3596</v>
      </c>
      <c r="G336" s="29" t="s">
        <v>3597</v>
      </c>
      <c r="H336" s="26" t="s">
        <v>60</v>
      </c>
      <c r="I336" s="26" t="s">
        <v>19</v>
      </c>
      <c r="J336" s="32">
        <f>13957.9+2512.42</f>
        <v>16470.32</v>
      </c>
      <c r="K336" s="32">
        <v>57.432899999999997</v>
      </c>
      <c r="L336" s="33">
        <f t="shared" si="44"/>
        <v>286.77500178469137</v>
      </c>
      <c r="M336" s="26">
        <v>36</v>
      </c>
      <c r="N336" s="37">
        <f t="shared" si="45"/>
        <v>457.50888888888886</v>
      </c>
      <c r="O336" s="38">
        <f t="shared" ca="1" si="43"/>
        <v>62</v>
      </c>
      <c r="P336" s="36">
        <f t="shared" ca="1" si="46"/>
        <v>-11895.231111111108</v>
      </c>
      <c r="Q336" s="36">
        <f t="shared" ca="1" si="42"/>
        <v>1</v>
      </c>
      <c r="R336" s="49" t="s">
        <v>2942</v>
      </c>
    </row>
    <row r="337" spans="2:18" s="5" customFormat="1" ht="51.75" customHeight="1" x14ac:dyDescent="0.25">
      <c r="B337" s="27">
        <v>43990</v>
      </c>
      <c r="C337" s="24" t="s">
        <v>2349</v>
      </c>
      <c r="D337" s="26" t="s">
        <v>3578</v>
      </c>
      <c r="E337" s="26" t="s">
        <v>3598</v>
      </c>
      <c r="F337" s="26" t="s">
        <v>3599</v>
      </c>
      <c r="G337" s="29" t="s">
        <v>28</v>
      </c>
      <c r="H337" s="26" t="s">
        <v>60</v>
      </c>
      <c r="I337" s="26" t="s">
        <v>19</v>
      </c>
      <c r="J337" s="32">
        <f>7725.6+1390.61</f>
        <v>9116.2100000000009</v>
      </c>
      <c r="K337" s="32">
        <v>57.432899999999997</v>
      </c>
      <c r="L337" s="33">
        <f t="shared" si="44"/>
        <v>158.72801129666101</v>
      </c>
      <c r="M337" s="26">
        <v>36</v>
      </c>
      <c r="N337" s="37">
        <f t="shared" si="45"/>
        <v>253.22805555555558</v>
      </c>
      <c r="O337" s="38">
        <f t="shared" ca="1" si="43"/>
        <v>62</v>
      </c>
      <c r="P337" s="36">
        <f t="shared" ca="1" si="46"/>
        <v>-6583.9294444444458</v>
      </c>
      <c r="Q337" s="36">
        <f t="shared" ca="1" si="42"/>
        <v>1</v>
      </c>
      <c r="R337" s="49" t="s">
        <v>2942</v>
      </c>
    </row>
    <row r="338" spans="2:18" s="5" customFormat="1" ht="36.75" customHeight="1" x14ac:dyDescent="0.25">
      <c r="B338" s="27">
        <v>43990</v>
      </c>
      <c r="C338" s="24" t="s">
        <v>2349</v>
      </c>
      <c r="D338" s="26" t="s">
        <v>3578</v>
      </c>
      <c r="E338" s="26" t="s">
        <v>3600</v>
      </c>
      <c r="F338" s="26" t="s">
        <v>3601</v>
      </c>
      <c r="G338" s="29" t="s">
        <v>3602</v>
      </c>
      <c r="H338" s="26" t="s">
        <v>60</v>
      </c>
      <c r="I338" s="26" t="s">
        <v>19</v>
      </c>
      <c r="J338" s="32">
        <f>3765.39+677.77</f>
        <v>4443.16</v>
      </c>
      <c r="K338" s="32">
        <v>57.432899999999997</v>
      </c>
      <c r="L338" s="33">
        <f t="shared" si="44"/>
        <v>77.362626647792467</v>
      </c>
      <c r="M338" s="26">
        <v>36</v>
      </c>
      <c r="N338" s="37">
        <f t="shared" si="45"/>
        <v>123.4211111111111</v>
      </c>
      <c r="O338" s="38">
        <f t="shared" ca="1" si="43"/>
        <v>62</v>
      </c>
      <c r="P338" s="36">
        <f t="shared" ca="1" si="46"/>
        <v>-3208.9488888888882</v>
      </c>
      <c r="Q338" s="36">
        <f t="shared" ca="1" si="42"/>
        <v>1</v>
      </c>
      <c r="R338" s="49" t="s">
        <v>2942</v>
      </c>
    </row>
    <row r="339" spans="2:18" s="5" customFormat="1" ht="39" customHeight="1" x14ac:dyDescent="0.25">
      <c r="B339" s="27">
        <v>43990</v>
      </c>
      <c r="C339" s="24" t="s">
        <v>2349</v>
      </c>
      <c r="D339" s="26" t="s">
        <v>3578</v>
      </c>
      <c r="E339" s="26" t="s">
        <v>3603</v>
      </c>
      <c r="F339" s="26" t="s">
        <v>3601</v>
      </c>
      <c r="G339" s="29" t="s">
        <v>3604</v>
      </c>
      <c r="H339" s="26" t="s">
        <v>60</v>
      </c>
      <c r="I339" s="26" t="s">
        <v>19</v>
      </c>
      <c r="J339" s="32">
        <f>3765.39+677.77</f>
        <v>4443.16</v>
      </c>
      <c r="K339" s="32">
        <v>57.432899999999997</v>
      </c>
      <c r="L339" s="33">
        <f t="shared" si="44"/>
        <v>77.362626647792467</v>
      </c>
      <c r="M339" s="26">
        <v>36</v>
      </c>
      <c r="N339" s="37">
        <f t="shared" si="45"/>
        <v>123.4211111111111</v>
      </c>
      <c r="O339" s="38">
        <f t="shared" ca="1" si="43"/>
        <v>62</v>
      </c>
      <c r="P339" s="36">
        <f t="shared" ca="1" si="46"/>
        <v>-3208.9488888888882</v>
      </c>
      <c r="Q339" s="36">
        <f t="shared" ca="1" si="42"/>
        <v>1</v>
      </c>
      <c r="R339" s="49" t="s">
        <v>2942</v>
      </c>
    </row>
    <row r="340" spans="2:18" s="5" customFormat="1" ht="36" customHeight="1" x14ac:dyDescent="0.25">
      <c r="B340" s="27">
        <v>43990</v>
      </c>
      <c r="C340" s="24" t="s">
        <v>2349</v>
      </c>
      <c r="D340" s="26" t="s">
        <v>3578</v>
      </c>
      <c r="E340" s="26" t="s">
        <v>3605</v>
      </c>
      <c r="F340" s="26" t="s">
        <v>3606</v>
      </c>
      <c r="G340" s="29" t="s">
        <v>3607</v>
      </c>
      <c r="H340" s="26" t="s">
        <v>60</v>
      </c>
      <c r="I340" s="26" t="s">
        <v>19</v>
      </c>
      <c r="J340" s="32">
        <f>2629.28+473.27</f>
        <v>3102.55</v>
      </c>
      <c r="K340" s="32">
        <v>57.432899999999997</v>
      </c>
      <c r="L340" s="33">
        <f t="shared" si="44"/>
        <v>54.020430798375152</v>
      </c>
      <c r="M340" s="26">
        <v>36</v>
      </c>
      <c r="N340" s="37">
        <f t="shared" si="45"/>
        <v>86.181944444444454</v>
      </c>
      <c r="O340" s="38">
        <f t="shared" ca="1" si="43"/>
        <v>62</v>
      </c>
      <c r="P340" s="36">
        <f t="shared" ca="1" si="46"/>
        <v>-2240.7305555555558</v>
      </c>
      <c r="Q340" s="36">
        <f t="shared" ca="1" si="42"/>
        <v>1</v>
      </c>
      <c r="R340" s="49" t="s">
        <v>2942</v>
      </c>
    </row>
    <row r="341" spans="2:18" s="5" customFormat="1" ht="39.75" customHeight="1" x14ac:dyDescent="0.25">
      <c r="B341" s="27">
        <v>43990</v>
      </c>
      <c r="C341" s="24" t="s">
        <v>2349</v>
      </c>
      <c r="D341" s="26" t="s">
        <v>3578</v>
      </c>
      <c r="E341" s="26" t="s">
        <v>3608</v>
      </c>
      <c r="F341" s="26" t="s">
        <v>3606</v>
      </c>
      <c r="G341" s="29" t="s">
        <v>3609</v>
      </c>
      <c r="H341" s="26" t="s">
        <v>60</v>
      </c>
      <c r="I341" s="26" t="s">
        <v>19</v>
      </c>
      <c r="J341" s="32">
        <f>2629.28+473.27</f>
        <v>3102.55</v>
      </c>
      <c r="K341" s="32">
        <v>57.432899999999997</v>
      </c>
      <c r="L341" s="33">
        <f t="shared" si="44"/>
        <v>54.020430798375152</v>
      </c>
      <c r="M341" s="26">
        <v>36</v>
      </c>
      <c r="N341" s="37">
        <f t="shared" si="45"/>
        <v>86.181944444444454</v>
      </c>
      <c r="O341" s="38">
        <f t="shared" ca="1" si="43"/>
        <v>62</v>
      </c>
      <c r="P341" s="36">
        <f t="shared" ca="1" si="46"/>
        <v>-2240.7305555555558</v>
      </c>
      <c r="Q341" s="36">
        <f t="shared" ca="1" si="42"/>
        <v>1</v>
      </c>
      <c r="R341" s="49" t="s">
        <v>2942</v>
      </c>
    </row>
    <row r="342" spans="2:18" s="5" customFormat="1" ht="44.25" customHeight="1" x14ac:dyDescent="0.25">
      <c r="B342" s="27">
        <v>43990</v>
      </c>
      <c r="C342" s="24" t="s">
        <v>2349</v>
      </c>
      <c r="D342" s="26" t="s">
        <v>3578</v>
      </c>
      <c r="E342" s="26" t="s">
        <v>3610</v>
      </c>
      <c r="F342" s="26" t="s">
        <v>3611</v>
      </c>
      <c r="G342" s="29" t="s">
        <v>3612</v>
      </c>
      <c r="H342" s="26" t="s">
        <v>60</v>
      </c>
      <c r="I342" s="26" t="s">
        <v>19</v>
      </c>
      <c r="J342" s="32">
        <f>1623.01+292.14</f>
        <v>1915.15</v>
      </c>
      <c r="K342" s="32">
        <v>57.432899999999997</v>
      </c>
      <c r="L342" s="33">
        <f t="shared" si="44"/>
        <v>33.345869701860785</v>
      </c>
      <c r="M342" s="26">
        <v>36</v>
      </c>
      <c r="N342" s="37">
        <f t="shared" si="45"/>
        <v>53.198611111111113</v>
      </c>
      <c r="O342" s="38">
        <f t="shared" ca="1" si="43"/>
        <v>62</v>
      </c>
      <c r="P342" s="36">
        <f t="shared" ca="1" si="46"/>
        <v>-1383.1638888888888</v>
      </c>
      <c r="Q342" s="36">
        <f t="shared" ca="1" si="42"/>
        <v>1</v>
      </c>
      <c r="R342" s="49" t="s">
        <v>2942</v>
      </c>
    </row>
    <row r="343" spans="2:18" s="5" customFormat="1" ht="36.75" customHeight="1" x14ac:dyDescent="0.25">
      <c r="B343" s="27">
        <v>43990</v>
      </c>
      <c r="C343" s="24" t="s">
        <v>2349</v>
      </c>
      <c r="D343" s="26" t="s">
        <v>3578</v>
      </c>
      <c r="E343" s="26" t="s">
        <v>3613</v>
      </c>
      <c r="F343" s="26" t="s">
        <v>3611</v>
      </c>
      <c r="G343" s="29" t="s">
        <v>3614</v>
      </c>
      <c r="H343" s="26" t="s">
        <v>60</v>
      </c>
      <c r="I343" s="26" t="s">
        <v>19</v>
      </c>
      <c r="J343" s="32">
        <f>1623.01+292.14</f>
        <v>1915.15</v>
      </c>
      <c r="K343" s="32">
        <v>57.432899999999997</v>
      </c>
      <c r="L343" s="33">
        <f t="shared" si="44"/>
        <v>33.345869701860785</v>
      </c>
      <c r="M343" s="26">
        <v>36</v>
      </c>
      <c r="N343" s="37">
        <f t="shared" si="45"/>
        <v>53.198611111111113</v>
      </c>
      <c r="O343" s="38">
        <f t="shared" ca="1" si="43"/>
        <v>62</v>
      </c>
      <c r="P343" s="36">
        <f t="shared" ca="1" si="46"/>
        <v>-1383.1638888888888</v>
      </c>
      <c r="Q343" s="36">
        <f t="shared" ca="1" si="42"/>
        <v>1</v>
      </c>
      <c r="R343" s="49" t="s">
        <v>2942</v>
      </c>
    </row>
    <row r="344" spans="2:18" s="5" customFormat="1" ht="37.5" customHeight="1" x14ac:dyDescent="0.25">
      <c r="B344" s="27">
        <v>43990</v>
      </c>
      <c r="C344" s="24" t="s">
        <v>2349</v>
      </c>
      <c r="D344" s="26" t="s">
        <v>3578</v>
      </c>
      <c r="E344" s="26" t="s">
        <v>3615</v>
      </c>
      <c r="F344" s="26" t="s">
        <v>3611</v>
      </c>
      <c r="G344" s="29" t="s">
        <v>3616</v>
      </c>
      <c r="H344" s="26" t="s">
        <v>60</v>
      </c>
      <c r="I344" s="26" t="s">
        <v>19</v>
      </c>
      <c r="J344" s="32">
        <f>1623.01+292.14</f>
        <v>1915.15</v>
      </c>
      <c r="K344" s="32">
        <v>57.432899999999997</v>
      </c>
      <c r="L344" s="33">
        <f t="shared" si="44"/>
        <v>33.345869701860785</v>
      </c>
      <c r="M344" s="26">
        <v>36</v>
      </c>
      <c r="N344" s="37">
        <f t="shared" si="45"/>
        <v>53.198611111111113</v>
      </c>
      <c r="O344" s="38">
        <f t="shared" ca="1" si="43"/>
        <v>62</v>
      </c>
      <c r="P344" s="36">
        <f t="shared" ca="1" si="46"/>
        <v>-1383.1638888888888</v>
      </c>
      <c r="Q344" s="36">
        <f t="shared" ca="1" si="42"/>
        <v>1</v>
      </c>
      <c r="R344" s="49" t="s">
        <v>2942</v>
      </c>
    </row>
    <row r="345" spans="2:18" s="5" customFormat="1" ht="44.25" customHeight="1" x14ac:dyDescent="0.25">
      <c r="B345" s="27">
        <v>43990</v>
      </c>
      <c r="C345" s="24" t="s">
        <v>2349</v>
      </c>
      <c r="D345" s="26" t="s">
        <v>3578</v>
      </c>
      <c r="E345" s="26" t="s">
        <v>3617</v>
      </c>
      <c r="F345" s="26" t="s">
        <v>3618</v>
      </c>
      <c r="G345" s="29" t="s">
        <v>28</v>
      </c>
      <c r="H345" s="26" t="s">
        <v>60</v>
      </c>
      <c r="I345" s="26" t="s">
        <v>19</v>
      </c>
      <c r="J345" s="32">
        <f>11701.91+2106.35</f>
        <v>13808.26</v>
      </c>
      <c r="K345" s="32">
        <v>57.432899999999997</v>
      </c>
      <c r="L345" s="33">
        <f t="shared" si="44"/>
        <v>240.42421678167045</v>
      </c>
      <c r="M345" s="26">
        <v>36</v>
      </c>
      <c r="N345" s="37">
        <f t="shared" si="45"/>
        <v>383.5627777777778</v>
      </c>
      <c r="O345" s="38">
        <f t="shared" ca="1" si="43"/>
        <v>62</v>
      </c>
      <c r="P345" s="36">
        <f t="shared" ca="1" si="46"/>
        <v>-9972.6322222222243</v>
      </c>
      <c r="Q345" s="36">
        <f t="shared" ca="1" si="42"/>
        <v>1</v>
      </c>
      <c r="R345" s="49" t="s">
        <v>2942</v>
      </c>
    </row>
    <row r="346" spans="2:18" s="5" customFormat="1" ht="51.75" customHeight="1" x14ac:dyDescent="0.25">
      <c r="B346" s="27">
        <v>43990</v>
      </c>
      <c r="C346" s="24" t="s">
        <v>2349</v>
      </c>
      <c r="D346" s="26" t="s">
        <v>3578</v>
      </c>
      <c r="E346" s="26" t="s">
        <v>3619</v>
      </c>
      <c r="F346" s="26" t="s">
        <v>3620</v>
      </c>
      <c r="G346" s="29" t="s">
        <v>28</v>
      </c>
      <c r="H346" s="26" t="s">
        <v>60</v>
      </c>
      <c r="I346" s="26" t="s">
        <v>19</v>
      </c>
      <c r="J346" s="32">
        <f>2059.98+370.8</f>
        <v>2430.7800000000002</v>
      </c>
      <c r="K346" s="32">
        <v>57.432899999999997</v>
      </c>
      <c r="L346" s="33">
        <f t="shared" si="44"/>
        <v>42.323824846037731</v>
      </c>
      <c r="M346" s="26">
        <v>36</v>
      </c>
      <c r="N346" s="37">
        <f t="shared" si="45"/>
        <v>67.521666666666675</v>
      </c>
      <c r="O346" s="38">
        <f t="shared" ca="1" si="43"/>
        <v>62</v>
      </c>
      <c r="P346" s="36">
        <f t="shared" ca="1" si="46"/>
        <v>-1755.563333333334</v>
      </c>
      <c r="Q346" s="36">
        <f t="shared" ca="1" si="42"/>
        <v>1</v>
      </c>
      <c r="R346" s="49" t="s">
        <v>2942</v>
      </c>
    </row>
    <row r="347" spans="2:18" s="5" customFormat="1" ht="53.25" customHeight="1" x14ac:dyDescent="0.25">
      <c r="B347" s="27">
        <v>43990</v>
      </c>
      <c r="C347" s="24" t="s">
        <v>2349</v>
      </c>
      <c r="D347" s="26" t="s">
        <v>3578</v>
      </c>
      <c r="E347" s="26" t="s">
        <v>3621</v>
      </c>
      <c r="F347" s="26" t="s">
        <v>3620</v>
      </c>
      <c r="G347" s="29" t="s">
        <v>28</v>
      </c>
      <c r="H347" s="26" t="s">
        <v>60</v>
      </c>
      <c r="I347" s="26" t="s">
        <v>19</v>
      </c>
      <c r="J347" s="32">
        <f>2059.98+370.8</f>
        <v>2430.7800000000002</v>
      </c>
      <c r="K347" s="32">
        <v>57.432899999999997</v>
      </c>
      <c r="L347" s="33">
        <f t="shared" si="44"/>
        <v>42.323824846037731</v>
      </c>
      <c r="M347" s="26">
        <v>36</v>
      </c>
      <c r="N347" s="37">
        <f t="shared" si="45"/>
        <v>67.521666666666675</v>
      </c>
      <c r="O347" s="38">
        <f t="shared" ca="1" si="43"/>
        <v>62</v>
      </c>
      <c r="P347" s="36">
        <f t="shared" ca="1" si="46"/>
        <v>-1755.563333333334</v>
      </c>
      <c r="Q347" s="36">
        <f t="shared" ca="1" si="42"/>
        <v>1</v>
      </c>
      <c r="R347" s="49" t="s">
        <v>2942</v>
      </c>
    </row>
    <row r="348" spans="2:18" s="5" customFormat="1" ht="33.75" customHeight="1" x14ac:dyDescent="0.25">
      <c r="B348" s="27">
        <v>43990</v>
      </c>
      <c r="C348" s="24" t="s">
        <v>2349</v>
      </c>
      <c r="D348" s="26" t="s">
        <v>3578</v>
      </c>
      <c r="E348" s="26" t="s">
        <v>3622</v>
      </c>
      <c r="F348" s="26" t="s">
        <v>3623</v>
      </c>
      <c r="G348" s="29" t="s">
        <v>28</v>
      </c>
      <c r="H348" s="26" t="s">
        <v>60</v>
      </c>
      <c r="I348" s="26" t="s">
        <v>19</v>
      </c>
      <c r="J348" s="32">
        <f>458.8+82.584</f>
        <v>541.38400000000001</v>
      </c>
      <c r="K348" s="32">
        <v>57.432899999999997</v>
      </c>
      <c r="L348" s="33">
        <f t="shared" si="44"/>
        <v>9.4263740817545347</v>
      </c>
      <c r="M348" s="26">
        <v>36</v>
      </c>
      <c r="N348" s="37">
        <f t="shared" si="45"/>
        <v>15.038444444444444</v>
      </c>
      <c r="O348" s="38">
        <f t="shared" ca="1" si="43"/>
        <v>62</v>
      </c>
      <c r="P348" s="36">
        <f t="shared" ca="1" si="46"/>
        <v>-390.9995555555555</v>
      </c>
      <c r="Q348" s="36">
        <f t="shared" ca="1" si="42"/>
        <v>1</v>
      </c>
      <c r="R348" s="49" t="s">
        <v>2942</v>
      </c>
    </row>
    <row r="349" spans="2:18" s="5" customFormat="1" ht="61.5" customHeight="1" x14ac:dyDescent="0.25">
      <c r="B349" s="27">
        <v>43990</v>
      </c>
      <c r="C349" s="24" t="s">
        <v>2349</v>
      </c>
      <c r="D349" s="26" t="s">
        <v>3624</v>
      </c>
      <c r="E349" s="26" t="s">
        <v>3625</v>
      </c>
      <c r="F349" s="26" t="s">
        <v>3626</v>
      </c>
      <c r="G349" s="29" t="s">
        <v>3627</v>
      </c>
      <c r="H349" s="26" t="s">
        <v>3628</v>
      </c>
      <c r="I349" s="26" t="s">
        <v>19</v>
      </c>
      <c r="J349" s="32">
        <f>57167.06+10290.0708</f>
        <v>67457.130799999999</v>
      </c>
      <c r="K349" s="32">
        <v>57.432899999999997</v>
      </c>
      <c r="L349" s="33">
        <f t="shared" si="44"/>
        <v>1174.5381271013653</v>
      </c>
      <c r="M349" s="26">
        <v>36</v>
      </c>
      <c r="N349" s="37">
        <f t="shared" si="45"/>
        <v>1873.8091888888889</v>
      </c>
      <c r="O349" s="38">
        <f t="shared" ca="1" si="43"/>
        <v>62</v>
      </c>
      <c r="P349" s="36">
        <f t="shared" ca="1" si="46"/>
        <v>-48719.038911111114</v>
      </c>
      <c r="Q349" s="36">
        <f t="shared" ca="1" si="42"/>
        <v>1</v>
      </c>
      <c r="R349" s="49" t="s">
        <v>2702</v>
      </c>
    </row>
    <row r="350" spans="2:18" s="5" customFormat="1" ht="60" customHeight="1" x14ac:dyDescent="0.25">
      <c r="B350" s="27">
        <v>43990</v>
      </c>
      <c r="C350" s="24" t="s">
        <v>2349</v>
      </c>
      <c r="D350" s="26" t="s">
        <v>3624</v>
      </c>
      <c r="E350" s="26" t="s">
        <v>3629</v>
      </c>
      <c r="F350" s="26" t="s">
        <v>3626</v>
      </c>
      <c r="G350" s="29" t="s">
        <v>3630</v>
      </c>
      <c r="H350" s="26" t="s">
        <v>60</v>
      </c>
      <c r="I350" s="26" t="s">
        <v>19</v>
      </c>
      <c r="J350" s="32">
        <f t="shared" ref="J350:J355" si="47">57167.06+10290.0708</f>
        <v>67457.130799999999</v>
      </c>
      <c r="K350" s="32">
        <v>57.432899999999997</v>
      </c>
      <c r="L350" s="33">
        <f t="shared" ref="L350:L355" si="48">+J350/K350</f>
        <v>1174.5381271013653</v>
      </c>
      <c r="M350" s="26">
        <v>36</v>
      </c>
      <c r="N350" s="37">
        <f t="shared" ref="N350:N362" si="49">IF(AND(J350&lt;&gt;0,M350&lt;&gt;0),J350/M350,0)</f>
        <v>1873.8091888888889</v>
      </c>
      <c r="O350" s="38">
        <f t="shared" ref="O350:O384" ca="1" si="50">IF(B350&lt;&gt;0,(ROUND((NOW()-B350)/30,0)),0)</f>
        <v>62</v>
      </c>
      <c r="P350" s="36">
        <f t="shared" ca="1" si="46"/>
        <v>-48719.038911111114</v>
      </c>
      <c r="Q350" s="36">
        <f t="shared" ca="1" si="42"/>
        <v>1</v>
      </c>
      <c r="R350" s="49" t="s">
        <v>2702</v>
      </c>
    </row>
    <row r="351" spans="2:18" s="5" customFormat="1" ht="52.5" customHeight="1" x14ac:dyDescent="0.25">
      <c r="B351" s="27">
        <v>43990</v>
      </c>
      <c r="C351" s="24" t="s">
        <v>2349</v>
      </c>
      <c r="D351" s="26" t="s">
        <v>3624</v>
      </c>
      <c r="E351" s="26" t="s">
        <v>3631</v>
      </c>
      <c r="F351" s="26" t="s">
        <v>3626</v>
      </c>
      <c r="G351" s="29" t="s">
        <v>3632</v>
      </c>
      <c r="H351" s="26" t="s">
        <v>3633</v>
      </c>
      <c r="I351" s="26" t="s">
        <v>19</v>
      </c>
      <c r="J351" s="32">
        <f t="shared" si="47"/>
        <v>67457.130799999999</v>
      </c>
      <c r="K351" s="32">
        <v>57.432899999999997</v>
      </c>
      <c r="L351" s="33">
        <f t="shared" si="48"/>
        <v>1174.5381271013653</v>
      </c>
      <c r="M351" s="26">
        <v>36</v>
      </c>
      <c r="N351" s="37">
        <f t="shared" si="49"/>
        <v>1873.8091888888889</v>
      </c>
      <c r="O351" s="38">
        <f t="shared" ca="1" si="50"/>
        <v>62</v>
      </c>
      <c r="P351" s="36">
        <f t="shared" ca="1" si="46"/>
        <v>-48719.038911111114</v>
      </c>
      <c r="Q351" s="36">
        <f t="shared" ca="1" si="42"/>
        <v>1</v>
      </c>
      <c r="R351" s="49" t="s">
        <v>2702</v>
      </c>
    </row>
    <row r="352" spans="2:18" s="5" customFormat="1" ht="51.75" customHeight="1" x14ac:dyDescent="0.25">
      <c r="B352" s="27">
        <v>43990</v>
      </c>
      <c r="C352" s="24" t="s">
        <v>2349</v>
      </c>
      <c r="D352" s="26" t="s">
        <v>3624</v>
      </c>
      <c r="E352" s="26" t="s">
        <v>3634</v>
      </c>
      <c r="F352" s="26" t="s">
        <v>3626</v>
      </c>
      <c r="G352" s="29" t="s">
        <v>3635</v>
      </c>
      <c r="H352" s="26" t="s">
        <v>3636</v>
      </c>
      <c r="I352" s="26" t="s">
        <v>19</v>
      </c>
      <c r="J352" s="32">
        <f t="shared" si="47"/>
        <v>67457.130799999999</v>
      </c>
      <c r="K352" s="32">
        <v>57.432899999999997</v>
      </c>
      <c r="L352" s="33">
        <f t="shared" si="48"/>
        <v>1174.5381271013653</v>
      </c>
      <c r="M352" s="26">
        <v>36</v>
      </c>
      <c r="N352" s="37">
        <f t="shared" si="49"/>
        <v>1873.8091888888889</v>
      </c>
      <c r="O352" s="38">
        <f t="shared" ca="1" si="50"/>
        <v>62</v>
      </c>
      <c r="P352" s="36">
        <f t="shared" ca="1" si="46"/>
        <v>-48719.038911111114</v>
      </c>
      <c r="Q352" s="36">
        <f t="shared" ca="1" si="42"/>
        <v>1</v>
      </c>
      <c r="R352" s="49" t="s">
        <v>2702</v>
      </c>
    </row>
    <row r="353" spans="1:19" s="5" customFormat="1" ht="55.5" customHeight="1" x14ac:dyDescent="0.25">
      <c r="B353" s="27">
        <v>43990</v>
      </c>
      <c r="C353" s="24" t="s">
        <v>2349</v>
      </c>
      <c r="D353" s="26" t="s">
        <v>3624</v>
      </c>
      <c r="E353" s="26" t="s">
        <v>3637</v>
      </c>
      <c r="F353" s="26" t="s">
        <v>3626</v>
      </c>
      <c r="G353" s="29" t="s">
        <v>3638</v>
      </c>
      <c r="H353" s="26" t="s">
        <v>3639</v>
      </c>
      <c r="I353" s="26" t="s">
        <v>19</v>
      </c>
      <c r="J353" s="32">
        <f t="shared" si="47"/>
        <v>67457.130799999999</v>
      </c>
      <c r="K353" s="32">
        <v>57.432899999999997</v>
      </c>
      <c r="L353" s="33">
        <f t="shared" si="48"/>
        <v>1174.5381271013653</v>
      </c>
      <c r="M353" s="26">
        <v>36</v>
      </c>
      <c r="N353" s="37">
        <f t="shared" si="49"/>
        <v>1873.8091888888889</v>
      </c>
      <c r="O353" s="38">
        <f t="shared" ca="1" si="50"/>
        <v>62</v>
      </c>
      <c r="P353" s="36">
        <f t="shared" ca="1" si="46"/>
        <v>-48719.038911111114</v>
      </c>
      <c r="Q353" s="36">
        <f t="shared" ca="1" si="42"/>
        <v>1</v>
      </c>
      <c r="R353" s="49" t="s">
        <v>2702</v>
      </c>
    </row>
    <row r="354" spans="1:19" s="5" customFormat="1" ht="56.25" customHeight="1" x14ac:dyDescent="0.25">
      <c r="B354" s="27">
        <v>43990</v>
      </c>
      <c r="C354" s="24" t="s">
        <v>2349</v>
      </c>
      <c r="D354" s="26" t="s">
        <v>3624</v>
      </c>
      <c r="E354" s="26" t="s">
        <v>3640</v>
      </c>
      <c r="F354" s="26" t="s">
        <v>3626</v>
      </c>
      <c r="G354" s="29" t="s">
        <v>3641</v>
      </c>
      <c r="H354" s="26" t="s">
        <v>60</v>
      </c>
      <c r="I354" s="26" t="s">
        <v>19</v>
      </c>
      <c r="J354" s="32">
        <f t="shared" si="47"/>
        <v>67457.130799999999</v>
      </c>
      <c r="K354" s="32">
        <v>57.432899999999997</v>
      </c>
      <c r="L354" s="33">
        <f t="shared" si="48"/>
        <v>1174.5381271013653</v>
      </c>
      <c r="M354" s="26">
        <v>36</v>
      </c>
      <c r="N354" s="37">
        <f t="shared" si="49"/>
        <v>1873.8091888888889</v>
      </c>
      <c r="O354" s="38">
        <f t="shared" ca="1" si="50"/>
        <v>62</v>
      </c>
      <c r="P354" s="36">
        <f t="shared" ca="1" si="46"/>
        <v>-48719.038911111114</v>
      </c>
      <c r="Q354" s="36">
        <f t="shared" ca="1" si="42"/>
        <v>1</v>
      </c>
      <c r="R354" s="49" t="s">
        <v>2702</v>
      </c>
    </row>
    <row r="355" spans="1:19" s="5" customFormat="1" ht="63.75" customHeight="1" x14ac:dyDescent="0.25">
      <c r="B355" s="27">
        <v>43990</v>
      </c>
      <c r="C355" s="24" t="s">
        <v>2349</v>
      </c>
      <c r="D355" s="26" t="s">
        <v>3624</v>
      </c>
      <c r="E355" s="26" t="s">
        <v>3642</v>
      </c>
      <c r="F355" s="26" t="s">
        <v>3626</v>
      </c>
      <c r="G355" s="29" t="s">
        <v>3643</v>
      </c>
      <c r="H355" s="26" t="s">
        <v>3644</v>
      </c>
      <c r="I355" s="26" t="s">
        <v>19</v>
      </c>
      <c r="J355" s="32">
        <f t="shared" si="47"/>
        <v>67457.130799999999</v>
      </c>
      <c r="K355" s="32">
        <v>57.432899999999997</v>
      </c>
      <c r="L355" s="33">
        <f t="shared" si="48"/>
        <v>1174.5381271013653</v>
      </c>
      <c r="M355" s="26">
        <v>36</v>
      </c>
      <c r="N355" s="37">
        <f t="shared" si="49"/>
        <v>1873.8091888888889</v>
      </c>
      <c r="O355" s="38">
        <f t="shared" ca="1" si="50"/>
        <v>62</v>
      </c>
      <c r="P355" s="36">
        <f t="shared" ca="1" si="46"/>
        <v>-48719.038911111114</v>
      </c>
      <c r="Q355" s="36">
        <f t="shared" ca="1" si="42"/>
        <v>1</v>
      </c>
      <c r="R355" s="49" t="s">
        <v>2702</v>
      </c>
    </row>
    <row r="356" spans="1:19" s="5" customFormat="1" ht="42.75" customHeight="1" x14ac:dyDescent="0.25">
      <c r="B356" s="386" t="s">
        <v>3646</v>
      </c>
      <c r="C356" s="24" t="s">
        <v>2349</v>
      </c>
      <c r="D356" s="26" t="s">
        <v>3647</v>
      </c>
      <c r="E356" s="26" t="s">
        <v>3648</v>
      </c>
      <c r="F356" s="26" t="s">
        <v>3649</v>
      </c>
      <c r="G356" s="29" t="s">
        <v>3650</v>
      </c>
      <c r="H356" s="26" t="s">
        <v>60</v>
      </c>
      <c r="I356" s="26" t="s">
        <v>19</v>
      </c>
      <c r="J356" s="32">
        <v>14673.3</v>
      </c>
      <c r="K356" s="32">
        <v>57.43</v>
      </c>
      <c r="L356" s="33">
        <f t="shared" ref="L356:L625" si="51">J356/K356</f>
        <v>255.49886818735851</v>
      </c>
      <c r="M356" s="26">
        <v>36</v>
      </c>
      <c r="N356" s="37">
        <f t="shared" si="49"/>
        <v>407.59166666666664</v>
      </c>
      <c r="O356" s="38">
        <f t="shared" ca="1" si="50"/>
        <v>60</v>
      </c>
      <c r="P356" s="36">
        <f t="shared" ca="1" si="46"/>
        <v>-9782.2000000000007</v>
      </c>
      <c r="Q356" s="36">
        <f t="shared" ca="1" si="42"/>
        <v>1</v>
      </c>
      <c r="R356" s="49" t="s">
        <v>3651</v>
      </c>
    </row>
    <row r="357" spans="1:19" s="5" customFormat="1" ht="41.25" customHeight="1" x14ac:dyDescent="0.25">
      <c r="B357" s="386" t="s">
        <v>3646</v>
      </c>
      <c r="C357" s="24" t="s">
        <v>2349</v>
      </c>
      <c r="D357" s="26" t="s">
        <v>3647</v>
      </c>
      <c r="E357" s="26" t="s">
        <v>3652</v>
      </c>
      <c r="F357" s="26" t="s">
        <v>3649</v>
      </c>
      <c r="G357" s="29" t="s">
        <v>3650</v>
      </c>
      <c r="H357" s="26" t="s">
        <v>60</v>
      </c>
      <c r="I357" s="26" t="s">
        <v>19</v>
      </c>
      <c r="J357" s="32">
        <v>14673.3</v>
      </c>
      <c r="K357" s="32">
        <v>57.43</v>
      </c>
      <c r="L357" s="33">
        <f t="shared" si="51"/>
        <v>255.49886818735851</v>
      </c>
      <c r="M357" s="26">
        <v>36</v>
      </c>
      <c r="N357" s="37">
        <f t="shared" si="49"/>
        <v>407.59166666666664</v>
      </c>
      <c r="O357" s="38">
        <f t="shared" ca="1" si="50"/>
        <v>60</v>
      </c>
      <c r="P357" s="36">
        <f t="shared" ca="1" si="46"/>
        <v>-9782.2000000000007</v>
      </c>
      <c r="Q357" s="36">
        <f t="shared" ca="1" si="42"/>
        <v>1</v>
      </c>
      <c r="R357" s="49" t="s">
        <v>3651</v>
      </c>
    </row>
    <row r="358" spans="1:19" s="5" customFormat="1" ht="52.5" customHeight="1" x14ac:dyDescent="0.25">
      <c r="A358" s="44"/>
      <c r="B358" s="28">
        <v>44146</v>
      </c>
      <c r="C358" s="58" t="s">
        <v>2349</v>
      </c>
      <c r="D358" s="29" t="s">
        <v>3653</v>
      </c>
      <c r="E358" s="29" t="s">
        <v>3654</v>
      </c>
      <c r="F358" s="639" t="s">
        <v>4083</v>
      </c>
      <c r="G358" s="29" t="s">
        <v>3655</v>
      </c>
      <c r="H358" s="29" t="s">
        <v>3656</v>
      </c>
      <c r="I358" s="29" t="s">
        <v>19</v>
      </c>
      <c r="J358" s="39">
        <v>78506.25</v>
      </c>
      <c r="K358" s="39">
        <v>57.43</v>
      </c>
      <c r="L358" s="40">
        <f t="shared" si="51"/>
        <v>1366.9902489987812</v>
      </c>
      <c r="M358" s="29">
        <v>60</v>
      </c>
      <c r="N358" s="41">
        <f t="shared" si="49"/>
        <v>1308.4375</v>
      </c>
      <c r="O358" s="42">
        <f t="shared" ca="1" si="50"/>
        <v>57</v>
      </c>
      <c r="P358" s="36">
        <f t="shared" ca="1" si="46"/>
        <v>3925.3125</v>
      </c>
      <c r="Q358" s="43">
        <f t="shared" ca="1" si="42"/>
        <v>3925.3125</v>
      </c>
      <c r="R358" s="533" t="s">
        <v>3657</v>
      </c>
      <c r="S358" s="44"/>
    </row>
    <row r="359" spans="1:19" s="5" customFormat="1" ht="51.75" customHeight="1" x14ac:dyDescent="0.25">
      <c r="A359" s="44"/>
      <c r="B359" s="28">
        <v>44146</v>
      </c>
      <c r="C359" s="58" t="s">
        <v>2349</v>
      </c>
      <c r="D359" s="29" t="s">
        <v>3653</v>
      </c>
      <c r="E359" s="29" t="s">
        <v>3658</v>
      </c>
      <c r="F359" s="639" t="s">
        <v>4082</v>
      </c>
      <c r="G359" s="29" t="s">
        <v>3659</v>
      </c>
      <c r="H359" s="29" t="s">
        <v>3656</v>
      </c>
      <c r="I359" s="29" t="s">
        <v>19</v>
      </c>
      <c r="J359" s="39">
        <v>78506.25</v>
      </c>
      <c r="K359" s="39">
        <v>57.43</v>
      </c>
      <c r="L359" s="40">
        <f>J359/K359</f>
        <v>1366.9902489987812</v>
      </c>
      <c r="M359" s="29">
        <v>60</v>
      </c>
      <c r="N359" s="41">
        <f t="shared" si="49"/>
        <v>1308.4375</v>
      </c>
      <c r="O359" s="42">
        <f t="shared" ca="1" si="50"/>
        <v>57</v>
      </c>
      <c r="P359" s="36">
        <f t="shared" ca="1" si="46"/>
        <v>3925.3125</v>
      </c>
      <c r="Q359" s="43">
        <f t="shared" ca="1" si="42"/>
        <v>3925.3125</v>
      </c>
      <c r="R359" s="533" t="s">
        <v>3657</v>
      </c>
      <c r="S359" s="44"/>
    </row>
    <row r="360" spans="1:19" s="5" customFormat="1" ht="29.25" customHeight="1" x14ac:dyDescent="0.25">
      <c r="B360" s="28">
        <v>44186</v>
      </c>
      <c r="C360" s="24" t="s">
        <v>2349</v>
      </c>
      <c r="D360" s="29" t="s">
        <v>6011</v>
      </c>
      <c r="E360" s="29" t="s">
        <v>3660</v>
      </c>
      <c r="F360" s="29" t="s">
        <v>3661</v>
      </c>
      <c r="G360" s="29" t="s">
        <v>3662</v>
      </c>
      <c r="H360" s="29" t="s">
        <v>3663</v>
      </c>
      <c r="I360" s="29" t="s">
        <v>19</v>
      </c>
      <c r="J360" s="39">
        <v>512661.38</v>
      </c>
      <c r="K360" s="39">
        <f>K359</f>
        <v>57.43</v>
      </c>
      <c r="L360" s="40">
        <f t="shared" si="51"/>
        <v>8926.717395089674</v>
      </c>
      <c r="M360" s="29">
        <v>12</v>
      </c>
      <c r="N360" s="41">
        <f t="shared" si="49"/>
        <v>42721.781666666669</v>
      </c>
      <c r="O360" s="42">
        <f t="shared" ca="1" si="50"/>
        <v>55</v>
      </c>
      <c r="P360" s="36">
        <f t="shared" ca="1" si="46"/>
        <v>-1837036.6116666668</v>
      </c>
      <c r="Q360" s="36">
        <f t="shared" ca="1" si="42"/>
        <v>1</v>
      </c>
      <c r="R360" s="533" t="s">
        <v>3645</v>
      </c>
    </row>
    <row r="361" spans="1:19" s="5" customFormat="1" ht="33" customHeight="1" x14ac:dyDescent="0.25">
      <c r="B361" s="28">
        <v>44186</v>
      </c>
      <c r="C361" s="24" t="s">
        <v>2349</v>
      </c>
      <c r="D361" s="29" t="s">
        <v>3664</v>
      </c>
      <c r="E361" s="29" t="s">
        <v>3665</v>
      </c>
      <c r="F361" s="29" t="s">
        <v>3666</v>
      </c>
      <c r="G361" s="29" t="s">
        <v>3667</v>
      </c>
      <c r="H361" s="29" t="s">
        <v>3663</v>
      </c>
      <c r="I361" s="29" t="s">
        <v>19</v>
      </c>
      <c r="J361" s="39">
        <v>42726.09</v>
      </c>
      <c r="K361" s="39">
        <v>57.43</v>
      </c>
      <c r="L361" s="40">
        <f t="shared" si="51"/>
        <v>743.96813512101687</v>
      </c>
      <c r="M361" s="29">
        <v>12</v>
      </c>
      <c r="N361" s="41">
        <f t="shared" si="49"/>
        <v>3560.5074999999997</v>
      </c>
      <c r="O361" s="42">
        <f t="shared" ca="1" si="50"/>
        <v>55</v>
      </c>
      <c r="P361" s="36">
        <f t="shared" ca="1" si="46"/>
        <v>-153101.82249999998</v>
      </c>
      <c r="Q361" s="36">
        <f t="shared" ca="1" si="42"/>
        <v>1</v>
      </c>
      <c r="R361" s="533" t="s">
        <v>3645</v>
      </c>
    </row>
    <row r="362" spans="1:19" s="5" customFormat="1" ht="54.75" customHeight="1" x14ac:dyDescent="0.25">
      <c r="B362" s="28">
        <v>44186</v>
      </c>
      <c r="C362" s="24" t="s">
        <v>2349</v>
      </c>
      <c r="D362" s="29" t="s">
        <v>6011</v>
      </c>
      <c r="E362" s="29" t="s">
        <v>3668</v>
      </c>
      <c r="F362" s="29" t="s">
        <v>3669</v>
      </c>
      <c r="G362" s="29" t="s">
        <v>3669</v>
      </c>
      <c r="H362" s="29" t="s">
        <v>3663</v>
      </c>
      <c r="I362" s="29" t="s">
        <v>19</v>
      </c>
      <c r="J362" s="39">
        <v>99551.7</v>
      </c>
      <c r="K362" s="39">
        <v>57.43</v>
      </c>
      <c r="L362" s="40">
        <f t="shared" si="51"/>
        <v>1733.444192930524</v>
      </c>
      <c r="M362" s="29">
        <v>12</v>
      </c>
      <c r="N362" s="41">
        <f t="shared" si="49"/>
        <v>8295.9750000000004</v>
      </c>
      <c r="O362" s="42">
        <f t="shared" ca="1" si="50"/>
        <v>55</v>
      </c>
      <c r="P362" s="36">
        <f t="shared" ca="1" si="46"/>
        <v>-356726.92499999999</v>
      </c>
      <c r="Q362" s="36">
        <f t="shared" ca="1" si="42"/>
        <v>1</v>
      </c>
      <c r="R362" s="533" t="s">
        <v>3645</v>
      </c>
    </row>
    <row r="363" spans="1:19" s="5" customFormat="1" ht="61.5" customHeight="1" x14ac:dyDescent="0.25">
      <c r="B363" s="50">
        <v>44186</v>
      </c>
      <c r="C363" s="24" t="s">
        <v>2349</v>
      </c>
      <c r="D363" s="29" t="s">
        <v>6011</v>
      </c>
      <c r="E363" s="29" t="s">
        <v>3670</v>
      </c>
      <c r="F363" s="51" t="s">
        <v>3671</v>
      </c>
      <c r="G363" s="51" t="s">
        <v>3672</v>
      </c>
      <c r="H363" s="51" t="s">
        <v>3663</v>
      </c>
      <c r="I363" s="51" t="s">
        <v>19</v>
      </c>
      <c r="J363" s="54">
        <v>186497.11</v>
      </c>
      <c r="K363" s="54">
        <v>57.43</v>
      </c>
      <c r="L363" s="55">
        <f t="shared" si="51"/>
        <v>3247.3813337976667</v>
      </c>
      <c r="M363" s="51">
        <v>12</v>
      </c>
      <c r="N363" s="41">
        <f t="shared" ref="N363:N368" si="52">J363/M363</f>
        <v>15541.425833333333</v>
      </c>
      <c r="O363" s="42">
        <f t="shared" ca="1" si="50"/>
        <v>55</v>
      </c>
      <c r="P363" s="36">
        <f t="shared" ca="1" si="46"/>
        <v>-668281.31083333329</v>
      </c>
      <c r="Q363" s="36">
        <f t="shared" ca="1" si="42"/>
        <v>1</v>
      </c>
      <c r="R363" s="533" t="s">
        <v>3645</v>
      </c>
    </row>
    <row r="364" spans="1:19" s="5" customFormat="1" ht="150" customHeight="1" x14ac:dyDescent="0.25">
      <c r="B364" s="50">
        <v>44204</v>
      </c>
      <c r="C364" s="24" t="s">
        <v>2349</v>
      </c>
      <c r="D364" s="51" t="s">
        <v>3673</v>
      </c>
      <c r="E364" s="29" t="s">
        <v>3674</v>
      </c>
      <c r="F364" s="51" t="s">
        <v>3675</v>
      </c>
      <c r="G364" s="51" t="s">
        <v>3676</v>
      </c>
      <c r="H364" s="51" t="s">
        <v>3663</v>
      </c>
      <c r="I364" s="51" t="s">
        <v>19</v>
      </c>
      <c r="J364" s="54">
        <v>385882.66</v>
      </c>
      <c r="K364" s="54">
        <v>58.1892</v>
      </c>
      <c r="L364" s="55">
        <f t="shared" si="51"/>
        <v>6631.5168450502842</v>
      </c>
      <c r="M364" s="51">
        <v>36</v>
      </c>
      <c r="N364" s="41">
        <f t="shared" si="52"/>
        <v>10718.962777777777</v>
      </c>
      <c r="O364" s="42">
        <f t="shared" ca="1" si="50"/>
        <v>55</v>
      </c>
      <c r="P364" s="36">
        <f t="shared" ca="1" si="46"/>
        <v>-203660.29277777771</v>
      </c>
      <c r="Q364" s="36">
        <f t="shared" ca="1" si="42"/>
        <v>1</v>
      </c>
      <c r="R364" s="533" t="s">
        <v>1327</v>
      </c>
    </row>
    <row r="365" spans="1:19" s="5" customFormat="1" ht="125.25" customHeight="1" x14ac:dyDescent="0.25">
      <c r="B365" s="50">
        <v>44207</v>
      </c>
      <c r="C365" s="24" t="s">
        <v>2349</v>
      </c>
      <c r="D365" s="51" t="s">
        <v>3677</v>
      </c>
      <c r="E365" s="29" t="s">
        <v>3678</v>
      </c>
      <c r="F365" s="51" t="s">
        <v>3679</v>
      </c>
      <c r="G365" s="51" t="s">
        <v>3680</v>
      </c>
      <c r="H365" s="51" t="s">
        <v>3663</v>
      </c>
      <c r="I365" s="51" t="s">
        <v>19</v>
      </c>
      <c r="J365" s="54">
        <v>157370.26</v>
      </c>
      <c r="K365" s="54">
        <v>58.252200000000002</v>
      </c>
      <c r="L365" s="55">
        <f t="shared" si="51"/>
        <v>2701.5333326466639</v>
      </c>
      <c r="M365" s="51">
        <v>12</v>
      </c>
      <c r="N365" s="41">
        <f t="shared" si="52"/>
        <v>13114.188333333334</v>
      </c>
      <c r="O365" s="42">
        <f t="shared" ca="1" si="50"/>
        <v>55</v>
      </c>
      <c r="P365" s="36">
        <f t="shared" ca="1" si="46"/>
        <v>-563910.09833333339</v>
      </c>
      <c r="Q365" s="36">
        <f t="shared" ca="1" si="42"/>
        <v>1</v>
      </c>
      <c r="R365" s="533" t="s">
        <v>3645</v>
      </c>
    </row>
    <row r="366" spans="1:19" s="5" customFormat="1" ht="65.25" customHeight="1" x14ac:dyDescent="0.25">
      <c r="B366" s="50">
        <v>44222</v>
      </c>
      <c r="C366" s="24" t="s">
        <v>2349</v>
      </c>
      <c r="D366" s="51" t="s">
        <v>3681</v>
      </c>
      <c r="E366" s="29" t="s">
        <v>3682</v>
      </c>
      <c r="F366" s="51" t="s">
        <v>3683</v>
      </c>
      <c r="G366" s="51" t="s">
        <v>3684</v>
      </c>
      <c r="H366" s="52" t="s">
        <v>3663</v>
      </c>
      <c r="I366" s="51" t="s">
        <v>19</v>
      </c>
      <c r="J366" s="54">
        <v>29170.14</v>
      </c>
      <c r="K366" s="54">
        <v>57.983199999999997</v>
      </c>
      <c r="L366" s="55">
        <f t="shared" si="51"/>
        <v>503.0791677589371</v>
      </c>
      <c r="M366" s="51">
        <v>12</v>
      </c>
      <c r="N366" s="41">
        <f t="shared" si="52"/>
        <v>2430.8449999999998</v>
      </c>
      <c r="O366" s="42">
        <f t="shared" ca="1" si="50"/>
        <v>54</v>
      </c>
      <c r="P366" s="36">
        <f t="shared" ca="1" si="46"/>
        <v>-102095.48999999998</v>
      </c>
      <c r="Q366" s="36">
        <f t="shared" ca="1" si="42"/>
        <v>1</v>
      </c>
      <c r="R366" s="534" t="s">
        <v>3685</v>
      </c>
    </row>
    <row r="367" spans="1:19" s="5" customFormat="1" ht="84.75" customHeight="1" x14ac:dyDescent="0.25">
      <c r="B367" s="50">
        <v>44222</v>
      </c>
      <c r="C367" s="24" t="s">
        <v>2349</v>
      </c>
      <c r="D367" s="51" t="s">
        <v>3681</v>
      </c>
      <c r="E367" s="29" t="s">
        <v>3686</v>
      </c>
      <c r="F367" s="51" t="s">
        <v>3683</v>
      </c>
      <c r="G367" s="51" t="s">
        <v>3687</v>
      </c>
      <c r="H367" s="51" t="s">
        <v>3663</v>
      </c>
      <c r="I367" s="51" t="s">
        <v>19</v>
      </c>
      <c r="J367" s="54">
        <v>150430.37</v>
      </c>
      <c r="K367" s="54">
        <v>57.983199999999997</v>
      </c>
      <c r="L367" s="55">
        <f t="shared" si="51"/>
        <v>2594.3785441300238</v>
      </c>
      <c r="M367" s="51">
        <v>12</v>
      </c>
      <c r="N367" s="41">
        <f t="shared" si="52"/>
        <v>12535.864166666666</v>
      </c>
      <c r="O367" s="42">
        <f t="shared" ca="1" si="50"/>
        <v>54</v>
      </c>
      <c r="P367" s="36">
        <f t="shared" ca="1" si="46"/>
        <v>-526506.29500000004</v>
      </c>
      <c r="Q367" s="36">
        <f t="shared" ca="1" si="42"/>
        <v>1</v>
      </c>
      <c r="R367" s="534" t="s">
        <v>3685</v>
      </c>
    </row>
    <row r="368" spans="1:19" s="4" customFormat="1" ht="69" customHeight="1" x14ac:dyDescent="0.25">
      <c r="B368" s="24">
        <v>44225</v>
      </c>
      <c r="C368" s="24">
        <v>44365</v>
      </c>
      <c r="D368" s="53" t="s">
        <v>3688</v>
      </c>
      <c r="E368" s="26" t="s">
        <v>3689</v>
      </c>
      <c r="F368" s="53" t="s">
        <v>3690</v>
      </c>
      <c r="G368" s="56" t="s">
        <v>3691</v>
      </c>
      <c r="H368" s="53" t="s">
        <v>3692</v>
      </c>
      <c r="I368" s="53" t="s">
        <v>19</v>
      </c>
      <c r="J368" s="56">
        <v>86040.8</v>
      </c>
      <c r="K368" s="53">
        <v>57.998199999999997</v>
      </c>
      <c r="L368" s="53">
        <f t="shared" si="51"/>
        <v>1483.5081088723443</v>
      </c>
      <c r="M368" s="53">
        <v>48</v>
      </c>
      <c r="N368" s="57">
        <f t="shared" si="52"/>
        <v>1792.5166666666667</v>
      </c>
      <c r="O368" s="38">
        <f t="shared" ca="1" si="50"/>
        <v>54</v>
      </c>
      <c r="P368" s="36">
        <f t="shared" ca="1" si="46"/>
        <v>-10755.099999999991</v>
      </c>
      <c r="Q368" s="36">
        <f t="shared" ca="1" si="42"/>
        <v>1</v>
      </c>
      <c r="R368" s="535" t="s">
        <v>2702</v>
      </c>
    </row>
    <row r="369" spans="2:18" s="4" customFormat="1" ht="64.5" customHeight="1" x14ac:dyDescent="0.25">
      <c r="B369" s="24">
        <v>44225</v>
      </c>
      <c r="C369" s="24">
        <v>44365</v>
      </c>
      <c r="D369" s="53" t="s">
        <v>3688</v>
      </c>
      <c r="E369" s="26" t="s">
        <v>3693</v>
      </c>
      <c r="F369" s="53" t="s">
        <v>3694</v>
      </c>
      <c r="G369" s="56" t="s">
        <v>3695</v>
      </c>
      <c r="H369" s="53" t="s">
        <v>3696</v>
      </c>
      <c r="I369" s="53" t="s">
        <v>19</v>
      </c>
      <c r="J369" s="56">
        <v>86040.8</v>
      </c>
      <c r="K369" s="53">
        <v>57.998199999999997</v>
      </c>
      <c r="L369" s="53">
        <f t="shared" si="51"/>
        <v>1483.5081088723443</v>
      </c>
      <c r="M369" s="53">
        <v>48</v>
      </c>
      <c r="N369" s="57">
        <f t="shared" ref="N369:N404" si="53">J369/M369</f>
        <v>1792.5166666666667</v>
      </c>
      <c r="O369" s="38">
        <f t="shared" ca="1" si="50"/>
        <v>54</v>
      </c>
      <c r="P369" s="36">
        <f t="shared" ca="1" si="46"/>
        <v>-10755.099999999991</v>
      </c>
      <c r="Q369" s="36">
        <f t="shared" ca="1" si="42"/>
        <v>1</v>
      </c>
      <c r="R369" s="535" t="s">
        <v>2702</v>
      </c>
    </row>
    <row r="370" spans="2:18" s="4" customFormat="1" ht="61.5" customHeight="1" x14ac:dyDescent="0.25">
      <c r="B370" s="24">
        <v>44225</v>
      </c>
      <c r="C370" s="24">
        <v>44365</v>
      </c>
      <c r="D370" s="53" t="s">
        <v>3688</v>
      </c>
      <c r="E370" s="26" t="s">
        <v>3697</v>
      </c>
      <c r="F370" s="53" t="s">
        <v>3698</v>
      </c>
      <c r="G370" s="56" t="s">
        <v>3699</v>
      </c>
      <c r="H370" s="53" t="s">
        <v>3700</v>
      </c>
      <c r="I370" s="53" t="s">
        <v>19</v>
      </c>
      <c r="J370" s="56">
        <v>86040.8</v>
      </c>
      <c r="K370" s="53">
        <v>57.998199999999997</v>
      </c>
      <c r="L370" s="53">
        <f t="shared" si="51"/>
        <v>1483.5081088723443</v>
      </c>
      <c r="M370" s="53">
        <v>48</v>
      </c>
      <c r="N370" s="57">
        <f t="shared" si="53"/>
        <v>1792.5166666666667</v>
      </c>
      <c r="O370" s="38">
        <f t="shared" ca="1" si="50"/>
        <v>54</v>
      </c>
      <c r="P370" s="36">
        <f t="shared" ca="1" si="46"/>
        <v>-10755.099999999991</v>
      </c>
      <c r="Q370" s="36">
        <f t="shared" ca="1" si="42"/>
        <v>1</v>
      </c>
      <c r="R370" s="535" t="s">
        <v>2702</v>
      </c>
    </row>
    <row r="371" spans="2:18" s="4" customFormat="1" ht="66.75" customHeight="1" x14ac:dyDescent="0.25">
      <c r="B371" s="24">
        <v>44225</v>
      </c>
      <c r="C371" s="24">
        <v>44365</v>
      </c>
      <c r="D371" s="53" t="s">
        <v>3688</v>
      </c>
      <c r="E371" s="26" t="s">
        <v>3701</v>
      </c>
      <c r="F371" s="53" t="s">
        <v>3702</v>
      </c>
      <c r="G371" s="56" t="s">
        <v>3703</v>
      </c>
      <c r="H371" s="53" t="s">
        <v>3704</v>
      </c>
      <c r="I371" s="53" t="s">
        <v>19</v>
      </c>
      <c r="J371" s="56">
        <v>86040.8</v>
      </c>
      <c r="K371" s="53">
        <v>57.998199999999997</v>
      </c>
      <c r="L371" s="53">
        <f t="shared" si="51"/>
        <v>1483.5081088723443</v>
      </c>
      <c r="M371" s="53">
        <v>48</v>
      </c>
      <c r="N371" s="57">
        <f t="shared" si="53"/>
        <v>1792.5166666666667</v>
      </c>
      <c r="O371" s="38">
        <f t="shared" ca="1" si="50"/>
        <v>54</v>
      </c>
      <c r="P371" s="36">
        <f t="shared" ca="1" si="46"/>
        <v>-10755.099999999991</v>
      </c>
      <c r="Q371" s="36">
        <f t="shared" ca="1" si="42"/>
        <v>1</v>
      </c>
      <c r="R371" s="535" t="s">
        <v>2702</v>
      </c>
    </row>
    <row r="372" spans="2:18" s="4" customFormat="1" ht="66" customHeight="1" x14ac:dyDescent="0.25">
      <c r="B372" s="24">
        <v>44225</v>
      </c>
      <c r="C372" s="24">
        <v>44365</v>
      </c>
      <c r="D372" s="53" t="s">
        <v>3688</v>
      </c>
      <c r="E372" s="26" t="s">
        <v>3705</v>
      </c>
      <c r="F372" s="53" t="s">
        <v>3702</v>
      </c>
      <c r="G372" s="56" t="s">
        <v>3706</v>
      </c>
      <c r="H372" s="53" t="s">
        <v>3707</v>
      </c>
      <c r="I372" s="53" t="s">
        <v>19</v>
      </c>
      <c r="J372" s="56">
        <v>86040.84</v>
      </c>
      <c r="K372" s="53">
        <v>57.998199999999997</v>
      </c>
      <c r="L372" s="53">
        <f t="shared" si="51"/>
        <v>1483.5087985489206</v>
      </c>
      <c r="M372" s="53">
        <v>48</v>
      </c>
      <c r="N372" s="57">
        <f t="shared" si="53"/>
        <v>1792.5174999999999</v>
      </c>
      <c r="O372" s="38">
        <f t="shared" ca="1" si="50"/>
        <v>54</v>
      </c>
      <c r="P372" s="36">
        <f t="shared" ca="1" si="46"/>
        <v>-10755.104999999996</v>
      </c>
      <c r="Q372" s="36">
        <f t="shared" ca="1" si="42"/>
        <v>1</v>
      </c>
      <c r="R372" s="535" t="s">
        <v>2702</v>
      </c>
    </row>
    <row r="373" spans="2:18" s="4" customFormat="1" ht="42.75" customHeight="1" x14ac:dyDescent="0.25">
      <c r="B373" s="24">
        <v>44225</v>
      </c>
      <c r="C373" s="24">
        <v>44365</v>
      </c>
      <c r="D373" s="53" t="s">
        <v>3688</v>
      </c>
      <c r="E373" s="26" t="s">
        <v>3708</v>
      </c>
      <c r="F373" s="53" t="s">
        <v>3709</v>
      </c>
      <c r="G373" s="56" t="s">
        <v>3710</v>
      </c>
      <c r="H373" s="53" t="s">
        <v>3711</v>
      </c>
      <c r="I373" s="53" t="s">
        <v>19</v>
      </c>
      <c r="J373" s="56">
        <v>178877</v>
      </c>
      <c r="K373" s="53">
        <v>57.998199999999997</v>
      </c>
      <c r="L373" s="53">
        <f t="shared" si="51"/>
        <v>3084.1819228872623</v>
      </c>
      <c r="M373" s="53">
        <v>48</v>
      </c>
      <c r="N373" s="57">
        <f t="shared" si="53"/>
        <v>3726.6041666666665</v>
      </c>
      <c r="O373" s="38">
        <f t="shared" ca="1" si="50"/>
        <v>54</v>
      </c>
      <c r="P373" s="36">
        <f t="shared" ca="1" si="46"/>
        <v>-22359.625</v>
      </c>
      <c r="Q373" s="36">
        <f t="shared" ca="1" si="42"/>
        <v>1</v>
      </c>
      <c r="R373" s="535" t="s">
        <v>2702</v>
      </c>
    </row>
    <row r="374" spans="2:18" s="4" customFormat="1" ht="38.25" customHeight="1" x14ac:dyDescent="0.25">
      <c r="B374" s="24">
        <v>44229</v>
      </c>
      <c r="C374" s="24">
        <v>44362</v>
      </c>
      <c r="D374" s="53" t="s">
        <v>3712</v>
      </c>
      <c r="E374" s="26" t="s">
        <v>3713</v>
      </c>
      <c r="F374" s="53" t="s">
        <v>3714</v>
      </c>
      <c r="G374" s="56" t="s">
        <v>3715</v>
      </c>
      <c r="H374" s="53" t="s">
        <v>3716</v>
      </c>
      <c r="I374" s="53" t="s">
        <v>19</v>
      </c>
      <c r="J374" s="56">
        <v>81698.41</v>
      </c>
      <c r="K374" s="53">
        <v>57.871699999999997</v>
      </c>
      <c r="L374" s="53">
        <f t="shared" si="51"/>
        <v>1411.7160892111344</v>
      </c>
      <c r="M374" s="53">
        <v>48</v>
      </c>
      <c r="N374" s="57">
        <f t="shared" si="53"/>
        <v>1702.0502083333333</v>
      </c>
      <c r="O374" s="38">
        <f t="shared" ca="1" si="50"/>
        <v>54</v>
      </c>
      <c r="P374" s="36">
        <f t="shared" ca="1" si="46"/>
        <v>-10212.30124999999</v>
      </c>
      <c r="Q374" s="36">
        <f t="shared" ca="1" si="42"/>
        <v>1</v>
      </c>
      <c r="R374" s="535" t="s">
        <v>2520</v>
      </c>
    </row>
    <row r="375" spans="2:18" s="4" customFormat="1" ht="39" customHeight="1" x14ac:dyDescent="0.25">
      <c r="B375" s="24">
        <v>44229</v>
      </c>
      <c r="C375" s="24">
        <v>44363</v>
      </c>
      <c r="D375" s="53" t="s">
        <v>3712</v>
      </c>
      <c r="E375" s="26" t="s">
        <v>3717</v>
      </c>
      <c r="F375" s="53" t="s">
        <v>3714</v>
      </c>
      <c r="G375" s="56" t="s">
        <v>3718</v>
      </c>
      <c r="H375" s="53" t="s">
        <v>3719</v>
      </c>
      <c r="I375" s="53" t="s">
        <v>19</v>
      </c>
      <c r="J375" s="56">
        <v>81698.41</v>
      </c>
      <c r="K375" s="53">
        <v>57.871699999999997</v>
      </c>
      <c r="L375" s="53">
        <f t="shared" si="51"/>
        <v>1411.7160892111344</v>
      </c>
      <c r="M375" s="53">
        <v>48</v>
      </c>
      <c r="N375" s="57">
        <f t="shared" si="53"/>
        <v>1702.0502083333333</v>
      </c>
      <c r="O375" s="38">
        <f t="shared" ca="1" si="50"/>
        <v>54</v>
      </c>
      <c r="P375" s="36">
        <f t="shared" ca="1" si="46"/>
        <v>-10212.30124999999</v>
      </c>
      <c r="Q375" s="36">
        <f t="shared" ca="1" si="42"/>
        <v>1</v>
      </c>
      <c r="R375" s="535" t="s">
        <v>2520</v>
      </c>
    </row>
    <row r="376" spans="2:18" s="4" customFormat="1" ht="40.5" customHeight="1" x14ac:dyDescent="0.25">
      <c r="B376" s="24">
        <v>44229</v>
      </c>
      <c r="C376" s="24">
        <v>44363</v>
      </c>
      <c r="D376" s="53" t="s">
        <v>3712</v>
      </c>
      <c r="E376" s="26" t="s">
        <v>3720</v>
      </c>
      <c r="F376" s="53" t="s">
        <v>3714</v>
      </c>
      <c r="G376" s="56" t="s">
        <v>3721</v>
      </c>
      <c r="H376" s="53" t="s">
        <v>3722</v>
      </c>
      <c r="I376" s="53" t="s">
        <v>19</v>
      </c>
      <c r="J376" s="56">
        <v>81698.41</v>
      </c>
      <c r="K376" s="53">
        <v>57.871699999999997</v>
      </c>
      <c r="L376" s="53">
        <f t="shared" si="51"/>
        <v>1411.7160892111344</v>
      </c>
      <c r="M376" s="53">
        <v>48</v>
      </c>
      <c r="N376" s="57">
        <f t="shared" si="53"/>
        <v>1702.0502083333333</v>
      </c>
      <c r="O376" s="38">
        <f t="shared" ca="1" si="50"/>
        <v>54</v>
      </c>
      <c r="P376" s="36">
        <f t="shared" ca="1" si="46"/>
        <v>-10212.30124999999</v>
      </c>
      <c r="Q376" s="36">
        <f t="shared" ca="1" si="42"/>
        <v>1</v>
      </c>
      <c r="R376" s="535" t="s">
        <v>2520</v>
      </c>
    </row>
    <row r="377" spans="2:18" s="4" customFormat="1" ht="38.25" customHeight="1" x14ac:dyDescent="0.25">
      <c r="B377" s="24">
        <v>44229</v>
      </c>
      <c r="C377" s="24">
        <v>44363</v>
      </c>
      <c r="D377" s="53" t="s">
        <v>3712</v>
      </c>
      <c r="E377" s="26" t="s">
        <v>3723</v>
      </c>
      <c r="F377" s="53" t="s">
        <v>3724</v>
      </c>
      <c r="G377" s="56" t="s">
        <v>3725</v>
      </c>
      <c r="H377" s="53" t="s">
        <v>3726</v>
      </c>
      <c r="I377" s="53" t="s">
        <v>19</v>
      </c>
      <c r="J377" s="56">
        <v>86797.2</v>
      </c>
      <c r="K377" s="53">
        <v>57.871699999999997</v>
      </c>
      <c r="L377" s="53">
        <f t="shared" si="51"/>
        <v>1499.8211561091173</v>
      </c>
      <c r="M377" s="53">
        <v>48</v>
      </c>
      <c r="N377" s="57">
        <f t="shared" si="53"/>
        <v>1808.2749999999999</v>
      </c>
      <c r="O377" s="38">
        <f t="shared" ca="1" si="50"/>
        <v>54</v>
      </c>
      <c r="P377" s="36">
        <f t="shared" ca="1" si="46"/>
        <v>-10849.649999999994</v>
      </c>
      <c r="Q377" s="36">
        <f t="shared" ca="1" si="42"/>
        <v>1</v>
      </c>
      <c r="R377" s="535" t="s">
        <v>2520</v>
      </c>
    </row>
    <row r="378" spans="2:18" s="4" customFormat="1" ht="54.75" customHeight="1" x14ac:dyDescent="0.25">
      <c r="B378" s="24">
        <v>44229</v>
      </c>
      <c r="C378" s="24">
        <v>44363</v>
      </c>
      <c r="D378" s="53" t="s">
        <v>3712</v>
      </c>
      <c r="E378" s="26" t="s">
        <v>3727</v>
      </c>
      <c r="F378" s="53" t="s">
        <v>3724</v>
      </c>
      <c r="G378" s="56" t="s">
        <v>3728</v>
      </c>
      <c r="H378" s="53" t="s">
        <v>3729</v>
      </c>
      <c r="I378" s="53" t="s">
        <v>19</v>
      </c>
      <c r="J378" s="56">
        <v>86797.2</v>
      </c>
      <c r="K378" s="53">
        <v>57.871699999999997</v>
      </c>
      <c r="L378" s="53">
        <f t="shared" si="51"/>
        <v>1499.8211561091173</v>
      </c>
      <c r="M378" s="53">
        <v>48</v>
      </c>
      <c r="N378" s="57">
        <f t="shared" si="53"/>
        <v>1808.2749999999999</v>
      </c>
      <c r="O378" s="38">
        <f t="shared" ca="1" si="50"/>
        <v>54</v>
      </c>
      <c r="P378" s="36">
        <f t="shared" ca="1" si="46"/>
        <v>-10849.649999999994</v>
      </c>
      <c r="Q378" s="36">
        <f t="shared" ref="Q378:Q441" ca="1" si="54">IF(P378&lt;1,1,P378)</f>
        <v>1</v>
      </c>
      <c r="R378" s="535" t="s">
        <v>2520</v>
      </c>
    </row>
    <row r="379" spans="2:18" s="4" customFormat="1" ht="40.5" customHeight="1" x14ac:dyDescent="0.25">
      <c r="B379" s="24">
        <v>44229</v>
      </c>
      <c r="C379" s="24">
        <v>44363</v>
      </c>
      <c r="D379" s="53" t="s">
        <v>3712</v>
      </c>
      <c r="E379" s="26" t="s">
        <v>3730</v>
      </c>
      <c r="F379" s="53" t="s">
        <v>3724</v>
      </c>
      <c r="G379" s="56" t="s">
        <v>3731</v>
      </c>
      <c r="H379" s="53" t="s">
        <v>3732</v>
      </c>
      <c r="I379" s="53" t="s">
        <v>19</v>
      </c>
      <c r="J379" s="56">
        <v>86797.2</v>
      </c>
      <c r="K379" s="53">
        <v>57.871699999999997</v>
      </c>
      <c r="L379" s="53">
        <f t="shared" si="51"/>
        <v>1499.8211561091173</v>
      </c>
      <c r="M379" s="53">
        <v>48</v>
      </c>
      <c r="N379" s="57">
        <f t="shared" si="53"/>
        <v>1808.2749999999999</v>
      </c>
      <c r="O379" s="38">
        <f t="shared" ca="1" si="50"/>
        <v>54</v>
      </c>
      <c r="P379" s="36">
        <f t="shared" ca="1" si="46"/>
        <v>-10849.649999999994</v>
      </c>
      <c r="Q379" s="36">
        <f t="shared" ca="1" si="54"/>
        <v>1</v>
      </c>
      <c r="R379" s="535" t="s">
        <v>2520</v>
      </c>
    </row>
    <row r="380" spans="2:18" s="4" customFormat="1" ht="53.25" customHeight="1" x14ac:dyDescent="0.25">
      <c r="B380" s="24">
        <v>44229</v>
      </c>
      <c r="C380" s="24">
        <v>44363</v>
      </c>
      <c r="D380" s="53" t="s">
        <v>3712</v>
      </c>
      <c r="E380" s="26" t="s">
        <v>3733</v>
      </c>
      <c r="F380" s="53" t="s">
        <v>3724</v>
      </c>
      <c r="G380" s="56" t="s">
        <v>3734</v>
      </c>
      <c r="H380" s="53" t="s">
        <v>3735</v>
      </c>
      <c r="I380" s="53" t="s">
        <v>19</v>
      </c>
      <c r="J380" s="56">
        <v>86797.2</v>
      </c>
      <c r="K380" s="53">
        <v>57.871699999999997</v>
      </c>
      <c r="L380" s="59">
        <f t="shared" si="51"/>
        <v>1499.8211561091173</v>
      </c>
      <c r="M380" s="53">
        <v>48</v>
      </c>
      <c r="N380" s="57">
        <f t="shared" si="53"/>
        <v>1808.2749999999999</v>
      </c>
      <c r="O380" s="38">
        <f t="shared" ca="1" si="50"/>
        <v>54</v>
      </c>
      <c r="P380" s="36">
        <f t="shared" ca="1" si="46"/>
        <v>-10849.649999999994</v>
      </c>
      <c r="Q380" s="36">
        <f t="shared" ca="1" si="54"/>
        <v>1</v>
      </c>
      <c r="R380" s="535" t="s">
        <v>2520</v>
      </c>
    </row>
    <row r="381" spans="2:18" s="6" customFormat="1" ht="72.75" customHeight="1" x14ac:dyDescent="0.25">
      <c r="B381" s="58">
        <v>44383</v>
      </c>
      <c r="C381" s="24" t="s">
        <v>2349</v>
      </c>
      <c r="D381" s="56" t="s">
        <v>3736</v>
      </c>
      <c r="E381" s="29" t="s">
        <v>3737</v>
      </c>
      <c r="F381" s="29" t="s">
        <v>3738</v>
      </c>
      <c r="G381" s="56" t="s">
        <v>3739</v>
      </c>
      <c r="H381" s="56" t="s">
        <v>3722</v>
      </c>
      <c r="I381" s="56" t="s">
        <v>19</v>
      </c>
      <c r="J381" s="56">
        <v>73445.48</v>
      </c>
      <c r="K381" s="56">
        <v>57.871699999999997</v>
      </c>
      <c r="L381" s="60">
        <f t="shared" si="51"/>
        <v>1269.1087353576963</v>
      </c>
      <c r="M381" s="56">
        <v>12</v>
      </c>
      <c r="N381" s="61">
        <f t="shared" si="53"/>
        <v>6120.456666666666</v>
      </c>
      <c r="O381" s="42">
        <f t="shared" ca="1" si="50"/>
        <v>49</v>
      </c>
      <c r="P381" s="36">
        <f t="shared" ca="1" si="46"/>
        <v>-226456.89666666667</v>
      </c>
      <c r="Q381" s="36">
        <f t="shared" ca="1" si="54"/>
        <v>1</v>
      </c>
      <c r="R381" s="534" t="s">
        <v>3740</v>
      </c>
    </row>
    <row r="382" spans="2:18" s="4" customFormat="1" ht="66" customHeight="1" x14ac:dyDescent="0.25">
      <c r="B382" s="24">
        <v>44410</v>
      </c>
      <c r="C382" s="24">
        <v>44524</v>
      </c>
      <c r="D382" s="53" t="s">
        <v>3741</v>
      </c>
      <c r="E382" s="26" t="s">
        <v>4320</v>
      </c>
      <c r="F382" s="26" t="s">
        <v>3742</v>
      </c>
      <c r="G382" s="56" t="s">
        <v>28</v>
      </c>
      <c r="H382" s="53" t="s">
        <v>3355</v>
      </c>
      <c r="I382" s="53" t="s">
        <v>19</v>
      </c>
      <c r="J382" s="53">
        <v>18290</v>
      </c>
      <c r="K382" s="53">
        <v>56.992699999999999</v>
      </c>
      <c r="L382" s="59">
        <f t="shared" si="51"/>
        <v>320.9182930445478</v>
      </c>
      <c r="M382" s="53">
        <v>60</v>
      </c>
      <c r="N382" s="57">
        <f t="shared" si="53"/>
        <v>304.83333333333331</v>
      </c>
      <c r="O382" s="38">
        <f t="shared" ca="1" si="50"/>
        <v>48</v>
      </c>
      <c r="P382" s="36">
        <f t="shared" ca="1" si="46"/>
        <v>3658</v>
      </c>
      <c r="Q382" s="36">
        <f t="shared" ca="1" si="54"/>
        <v>3658</v>
      </c>
      <c r="R382" s="535" t="s">
        <v>3743</v>
      </c>
    </row>
    <row r="383" spans="2:18" s="4" customFormat="1" ht="50.25" customHeight="1" x14ac:dyDescent="0.25">
      <c r="B383" s="24">
        <v>44411</v>
      </c>
      <c r="C383" s="24">
        <v>44439</v>
      </c>
      <c r="D383" s="53" t="s">
        <v>3744</v>
      </c>
      <c r="E383" s="26" t="s">
        <v>4321</v>
      </c>
      <c r="F383" s="53" t="s">
        <v>3745</v>
      </c>
      <c r="G383" s="56" t="s">
        <v>3746</v>
      </c>
      <c r="H383" s="53" t="s">
        <v>3735</v>
      </c>
      <c r="I383" s="53" t="s">
        <v>19</v>
      </c>
      <c r="J383" s="53">
        <v>19470</v>
      </c>
      <c r="K383" s="53">
        <v>56.962200000000003</v>
      </c>
      <c r="L383" s="59">
        <f t="shared" si="51"/>
        <v>341.80561846277004</v>
      </c>
      <c r="M383" s="53">
        <v>60</v>
      </c>
      <c r="N383" s="57">
        <f t="shared" si="53"/>
        <v>324.5</v>
      </c>
      <c r="O383" s="38">
        <f t="shared" ca="1" si="50"/>
        <v>48</v>
      </c>
      <c r="P383" s="36">
        <f t="shared" ca="1" si="46"/>
        <v>3894</v>
      </c>
      <c r="Q383" s="36">
        <f t="shared" ca="1" si="54"/>
        <v>3894</v>
      </c>
      <c r="R383" s="535" t="s">
        <v>3747</v>
      </c>
    </row>
    <row r="384" spans="2:18" s="4" customFormat="1" ht="45.75" customHeight="1" x14ac:dyDescent="0.25">
      <c r="B384" s="24">
        <v>44412</v>
      </c>
      <c r="C384" s="24">
        <v>44446</v>
      </c>
      <c r="D384" s="53" t="s">
        <v>3748</v>
      </c>
      <c r="E384" s="26" t="s">
        <v>3749</v>
      </c>
      <c r="F384" s="53" t="s">
        <v>3750</v>
      </c>
      <c r="G384" s="56" t="s">
        <v>3751</v>
      </c>
      <c r="H384" s="53" t="s">
        <v>3752</v>
      </c>
      <c r="I384" s="53" t="s">
        <v>19</v>
      </c>
      <c r="J384" s="53">
        <v>12075.01</v>
      </c>
      <c r="K384" s="53">
        <v>56.985199999999999</v>
      </c>
      <c r="L384" s="59">
        <f t="shared" si="51"/>
        <v>211.89729964973361</v>
      </c>
      <c r="M384" s="53">
        <v>48</v>
      </c>
      <c r="N384" s="57">
        <f t="shared" si="53"/>
        <v>251.56270833333335</v>
      </c>
      <c r="O384" s="38">
        <f t="shared" ca="1" si="50"/>
        <v>48</v>
      </c>
      <c r="P384" s="36">
        <f t="shared" ca="1" si="46"/>
        <v>0</v>
      </c>
      <c r="Q384" s="36">
        <f t="shared" ca="1" si="54"/>
        <v>1</v>
      </c>
      <c r="R384" s="535" t="s">
        <v>3292</v>
      </c>
    </row>
    <row r="385" spans="2:18" s="4" customFormat="1" ht="53.25" customHeight="1" x14ac:dyDescent="0.25">
      <c r="B385" s="24">
        <v>44412</v>
      </c>
      <c r="C385" s="24">
        <v>44446</v>
      </c>
      <c r="D385" s="53" t="s">
        <v>3748</v>
      </c>
      <c r="E385" s="26" t="s">
        <v>3753</v>
      </c>
      <c r="F385" s="53" t="s">
        <v>3754</v>
      </c>
      <c r="G385" s="56" t="s">
        <v>3751</v>
      </c>
      <c r="H385" s="53" t="s">
        <v>3755</v>
      </c>
      <c r="I385" s="53" t="s">
        <v>3756</v>
      </c>
      <c r="J385" s="53">
        <v>12075.01</v>
      </c>
      <c r="K385" s="53">
        <v>56.985199999999999</v>
      </c>
      <c r="L385" s="59">
        <f t="shared" si="51"/>
        <v>211.89729964973361</v>
      </c>
      <c r="M385" s="53">
        <v>48</v>
      </c>
      <c r="N385" s="57">
        <f t="shared" si="53"/>
        <v>251.56270833333335</v>
      </c>
      <c r="O385" s="38">
        <f t="shared" ref="O385:O448" ca="1" si="55">IF(B385&lt;&gt;0,(ROUND((NOW()-B385)/30,0)),0)</f>
        <v>48</v>
      </c>
      <c r="P385" s="36">
        <f t="shared" ca="1" si="46"/>
        <v>0</v>
      </c>
      <c r="Q385" s="36">
        <f t="shared" ca="1" si="54"/>
        <v>1</v>
      </c>
      <c r="R385" s="535" t="s">
        <v>3292</v>
      </c>
    </row>
    <row r="386" spans="2:18" s="4" customFormat="1" ht="39.75" customHeight="1" x14ac:dyDescent="0.25">
      <c r="B386" s="24">
        <v>44412</v>
      </c>
      <c r="C386" s="24">
        <v>44446</v>
      </c>
      <c r="D386" s="53" t="s">
        <v>3748</v>
      </c>
      <c r="E386" s="26" t="s">
        <v>3757</v>
      </c>
      <c r="F386" s="53" t="s">
        <v>3758</v>
      </c>
      <c r="G386" s="56" t="s">
        <v>3759</v>
      </c>
      <c r="H386" s="53" t="s">
        <v>3755</v>
      </c>
      <c r="I386" s="53" t="s">
        <v>3756</v>
      </c>
      <c r="J386" s="53">
        <v>56640</v>
      </c>
      <c r="K386" s="53">
        <v>56.985199999999999</v>
      </c>
      <c r="L386" s="59">
        <f t="shared" si="51"/>
        <v>993.94228676919624</v>
      </c>
      <c r="M386" s="53">
        <v>48</v>
      </c>
      <c r="N386" s="57">
        <f t="shared" si="53"/>
        <v>1180</v>
      </c>
      <c r="O386" s="38">
        <f t="shared" ca="1" si="55"/>
        <v>48</v>
      </c>
      <c r="P386" s="36">
        <f t="shared" ca="1" si="46"/>
        <v>0</v>
      </c>
      <c r="Q386" s="36">
        <f t="shared" ca="1" si="54"/>
        <v>1</v>
      </c>
      <c r="R386" s="535" t="s">
        <v>3292</v>
      </c>
    </row>
    <row r="387" spans="2:18" s="4" customFormat="1" ht="44.25" customHeight="1" x14ac:dyDescent="0.25">
      <c r="B387" s="24">
        <v>44412</v>
      </c>
      <c r="C387" s="24">
        <v>44446</v>
      </c>
      <c r="D387" s="53" t="s">
        <v>3748</v>
      </c>
      <c r="E387" s="26" t="s">
        <v>3760</v>
      </c>
      <c r="F387" s="53" t="s">
        <v>3761</v>
      </c>
      <c r="G387" s="56" t="s">
        <v>3759</v>
      </c>
      <c r="H387" s="53" t="s">
        <v>3762</v>
      </c>
      <c r="I387" s="53" t="s">
        <v>3756</v>
      </c>
      <c r="J387" s="53">
        <v>50740</v>
      </c>
      <c r="K387" s="53">
        <v>56.985199999999999</v>
      </c>
      <c r="L387" s="59">
        <f t="shared" si="51"/>
        <v>890.40663189740496</v>
      </c>
      <c r="M387" s="53">
        <v>48</v>
      </c>
      <c r="N387" s="57">
        <f t="shared" si="53"/>
        <v>1057.0833333333333</v>
      </c>
      <c r="O387" s="38">
        <f t="shared" ca="1" si="55"/>
        <v>48</v>
      </c>
      <c r="P387" s="36">
        <f t="shared" ca="1" si="46"/>
        <v>0</v>
      </c>
      <c r="Q387" s="36">
        <f t="shared" ca="1" si="54"/>
        <v>1</v>
      </c>
      <c r="R387" s="535" t="s">
        <v>3763</v>
      </c>
    </row>
    <row r="388" spans="2:18" s="4" customFormat="1" ht="42.75" customHeight="1" x14ac:dyDescent="0.25">
      <c r="B388" s="24">
        <v>44428</v>
      </c>
      <c r="C388" s="24" t="s">
        <v>2349</v>
      </c>
      <c r="D388" s="53" t="s">
        <v>3764</v>
      </c>
      <c r="E388" s="26" t="s">
        <v>3765</v>
      </c>
      <c r="F388" s="53" t="s">
        <v>3766</v>
      </c>
      <c r="G388" s="56" t="s">
        <v>28</v>
      </c>
      <c r="H388" s="53" t="s">
        <v>3755</v>
      </c>
      <c r="I388" s="53" t="s">
        <v>3756</v>
      </c>
      <c r="J388" s="53">
        <v>24544</v>
      </c>
      <c r="K388" s="53">
        <v>56.991300000000003</v>
      </c>
      <c r="L388" s="59">
        <f t="shared" si="51"/>
        <v>430.66222388329447</v>
      </c>
      <c r="M388" s="53">
        <v>48</v>
      </c>
      <c r="N388" s="57">
        <f t="shared" si="53"/>
        <v>511.33333333333331</v>
      </c>
      <c r="O388" s="38">
        <f t="shared" ca="1" si="55"/>
        <v>47</v>
      </c>
      <c r="P388" s="36">
        <f t="shared" ca="1" si="46"/>
        <v>511.33333333333576</v>
      </c>
      <c r="Q388" s="36">
        <f t="shared" ca="1" si="54"/>
        <v>511.33333333333576</v>
      </c>
      <c r="R388" s="535" t="s">
        <v>3767</v>
      </c>
    </row>
    <row r="389" spans="2:18" s="4" customFormat="1" ht="72.75" customHeight="1" x14ac:dyDescent="0.25">
      <c r="B389" s="24">
        <v>44435</v>
      </c>
      <c r="C389" s="24">
        <v>44475</v>
      </c>
      <c r="D389" s="53" t="s">
        <v>3768</v>
      </c>
      <c r="E389" s="26" t="s">
        <v>3769</v>
      </c>
      <c r="F389" s="53" t="s">
        <v>3770</v>
      </c>
      <c r="G389" s="56" t="s">
        <v>28</v>
      </c>
      <c r="H389" s="53" t="s">
        <v>3771</v>
      </c>
      <c r="I389" s="53" t="s">
        <v>19</v>
      </c>
      <c r="J389" s="53">
        <v>18878.82</v>
      </c>
      <c r="K389" s="53">
        <v>56.939799999999998</v>
      </c>
      <c r="L389" s="59">
        <f t="shared" si="51"/>
        <v>331.55753971738574</v>
      </c>
      <c r="M389" s="53">
        <v>48</v>
      </c>
      <c r="N389" s="57">
        <f t="shared" si="53"/>
        <v>393.30874999999997</v>
      </c>
      <c r="O389" s="38">
        <f t="shared" ca="1" si="55"/>
        <v>47</v>
      </c>
      <c r="P389" s="36">
        <f t="shared" ca="1" si="46"/>
        <v>393.30875000000015</v>
      </c>
      <c r="Q389" s="36">
        <f t="shared" ca="1" si="54"/>
        <v>393.30875000000015</v>
      </c>
      <c r="R389" s="535" t="s">
        <v>30</v>
      </c>
    </row>
    <row r="390" spans="2:18" s="4" customFormat="1" ht="91.5" customHeight="1" x14ac:dyDescent="0.25">
      <c r="B390" s="24">
        <v>44435</v>
      </c>
      <c r="C390" s="24">
        <v>44475</v>
      </c>
      <c r="D390" s="53" t="s">
        <v>3768</v>
      </c>
      <c r="E390" s="26" t="s">
        <v>3772</v>
      </c>
      <c r="F390" s="53" t="s">
        <v>3773</v>
      </c>
      <c r="G390" s="56" t="s">
        <v>28</v>
      </c>
      <c r="H390" s="53" t="s">
        <v>3771</v>
      </c>
      <c r="I390" s="53" t="s">
        <v>19</v>
      </c>
      <c r="J390" s="53">
        <v>10112.6</v>
      </c>
      <c r="K390" s="53">
        <v>56.939799999999998</v>
      </c>
      <c r="L390" s="59">
        <f t="shared" si="51"/>
        <v>177.60160731158172</v>
      </c>
      <c r="M390" s="53">
        <v>48</v>
      </c>
      <c r="N390" s="57">
        <f t="shared" si="53"/>
        <v>210.67916666666667</v>
      </c>
      <c r="O390" s="38">
        <f t="shared" ca="1" si="55"/>
        <v>47</v>
      </c>
      <c r="P390" s="36">
        <f t="shared" ca="1" si="46"/>
        <v>210.67916666666679</v>
      </c>
      <c r="Q390" s="36">
        <f t="shared" ca="1" si="54"/>
        <v>210.67916666666679</v>
      </c>
      <c r="R390" s="535" t="s">
        <v>30</v>
      </c>
    </row>
    <row r="391" spans="2:18" s="4" customFormat="1" ht="51.75" customHeight="1" x14ac:dyDescent="0.25">
      <c r="B391" s="24">
        <v>44435</v>
      </c>
      <c r="C391" s="24">
        <v>44475</v>
      </c>
      <c r="D391" s="53" t="s">
        <v>3768</v>
      </c>
      <c r="E391" s="26" t="s">
        <v>3774</v>
      </c>
      <c r="F391" s="53" t="s">
        <v>3775</v>
      </c>
      <c r="G391" s="56" t="s">
        <v>28</v>
      </c>
      <c r="H391" s="53" t="s">
        <v>3771</v>
      </c>
      <c r="I391" s="53" t="s">
        <v>19</v>
      </c>
      <c r="J391" s="53">
        <v>11942.78</v>
      </c>
      <c r="K391" s="53">
        <v>56.939799999999998</v>
      </c>
      <c r="L391" s="59">
        <f t="shared" si="51"/>
        <v>209.74397521592982</v>
      </c>
      <c r="M391" s="53">
        <v>48</v>
      </c>
      <c r="N391" s="57">
        <f t="shared" si="53"/>
        <v>248.80791666666667</v>
      </c>
      <c r="O391" s="38">
        <f t="shared" ca="1" si="55"/>
        <v>47</v>
      </c>
      <c r="P391" s="36">
        <f t="shared" ca="1" si="46"/>
        <v>248.80791666666664</v>
      </c>
      <c r="Q391" s="36">
        <f t="shared" ca="1" si="54"/>
        <v>248.80791666666664</v>
      </c>
      <c r="R391" s="535" t="s">
        <v>30</v>
      </c>
    </row>
    <row r="392" spans="2:18" s="4" customFormat="1" ht="53.25" customHeight="1" x14ac:dyDescent="0.25">
      <c r="B392" s="24">
        <v>44435</v>
      </c>
      <c r="C392" s="24">
        <v>44475</v>
      </c>
      <c r="D392" s="53" t="s">
        <v>3768</v>
      </c>
      <c r="E392" s="26" t="s">
        <v>3776</v>
      </c>
      <c r="F392" s="53" t="s">
        <v>3777</v>
      </c>
      <c r="G392" s="56" t="s">
        <v>28</v>
      </c>
      <c r="H392" s="53" t="s">
        <v>3771</v>
      </c>
      <c r="I392" s="53" t="s">
        <v>19</v>
      </c>
      <c r="J392" s="53">
        <v>11942.78</v>
      </c>
      <c r="K392" s="53">
        <v>56.939799999999998</v>
      </c>
      <c r="L392" s="59">
        <f t="shared" si="51"/>
        <v>209.74397521592982</v>
      </c>
      <c r="M392" s="53">
        <v>48</v>
      </c>
      <c r="N392" s="57">
        <f t="shared" si="53"/>
        <v>248.80791666666667</v>
      </c>
      <c r="O392" s="38">
        <f t="shared" ca="1" si="55"/>
        <v>47</v>
      </c>
      <c r="P392" s="36">
        <f t="shared" ca="1" si="46"/>
        <v>248.80791666666664</v>
      </c>
      <c r="Q392" s="36">
        <f t="shared" ca="1" si="54"/>
        <v>248.80791666666664</v>
      </c>
      <c r="R392" s="535" t="s">
        <v>30</v>
      </c>
    </row>
    <row r="393" spans="2:18" s="4" customFormat="1" ht="49.5" customHeight="1" x14ac:dyDescent="0.25">
      <c r="B393" s="24">
        <v>44442</v>
      </c>
      <c r="C393" s="24" t="s">
        <v>2349</v>
      </c>
      <c r="D393" s="53" t="s">
        <v>3778</v>
      </c>
      <c r="E393" s="26" t="s">
        <v>3779</v>
      </c>
      <c r="F393" s="53" t="s">
        <v>3780</v>
      </c>
      <c r="G393" s="56" t="s">
        <v>28</v>
      </c>
      <c r="H393" s="26" t="s">
        <v>3781</v>
      </c>
      <c r="I393" s="53" t="s">
        <v>19</v>
      </c>
      <c r="J393" s="53">
        <v>7375</v>
      </c>
      <c r="K393" s="53">
        <v>56.7866</v>
      </c>
      <c r="L393" s="59">
        <f t="shared" si="51"/>
        <v>129.87218815706521</v>
      </c>
      <c r="M393" s="53">
        <v>48</v>
      </c>
      <c r="N393" s="57">
        <f t="shared" si="53"/>
        <v>153.64583333333334</v>
      </c>
      <c r="O393" s="38">
        <f t="shared" ca="1" si="55"/>
        <v>47</v>
      </c>
      <c r="P393" s="36">
        <f t="shared" ref="P393:P456" ca="1" si="56">IF(OR(J393=0,M393=0,O393=0),0,J393-(N393*O393))</f>
        <v>153.64583333333303</v>
      </c>
      <c r="Q393" s="36">
        <f t="shared" ca="1" si="54"/>
        <v>153.64583333333303</v>
      </c>
      <c r="R393" s="535" t="s">
        <v>3782</v>
      </c>
    </row>
    <row r="394" spans="2:18" s="4" customFormat="1" ht="43.5" customHeight="1" x14ac:dyDescent="0.25">
      <c r="B394" s="24">
        <v>44442</v>
      </c>
      <c r="C394" s="24" t="s">
        <v>2349</v>
      </c>
      <c r="D394" s="53" t="s">
        <v>3778</v>
      </c>
      <c r="E394" s="26" t="s">
        <v>3783</v>
      </c>
      <c r="F394" s="53" t="s">
        <v>3780</v>
      </c>
      <c r="G394" s="56" t="s">
        <v>28</v>
      </c>
      <c r="H394" s="26" t="s">
        <v>3504</v>
      </c>
      <c r="I394" s="53" t="s">
        <v>19</v>
      </c>
      <c r="J394" s="53">
        <v>7375</v>
      </c>
      <c r="K394" s="53">
        <v>56.7866</v>
      </c>
      <c r="L394" s="59">
        <f t="shared" si="51"/>
        <v>129.87218815706521</v>
      </c>
      <c r="M394" s="53">
        <v>48</v>
      </c>
      <c r="N394" s="57">
        <f t="shared" si="53"/>
        <v>153.64583333333334</v>
      </c>
      <c r="O394" s="38">
        <f t="shared" ca="1" si="55"/>
        <v>47</v>
      </c>
      <c r="P394" s="36">
        <f t="shared" ca="1" si="56"/>
        <v>153.64583333333303</v>
      </c>
      <c r="Q394" s="36">
        <f t="shared" ca="1" si="54"/>
        <v>153.64583333333303</v>
      </c>
      <c r="R394" s="535" t="s">
        <v>3782</v>
      </c>
    </row>
    <row r="395" spans="2:18" s="4" customFormat="1" ht="35.25" customHeight="1" x14ac:dyDescent="0.25">
      <c r="B395" s="24">
        <v>44442</v>
      </c>
      <c r="C395" s="24" t="s">
        <v>2349</v>
      </c>
      <c r="D395" s="53" t="s">
        <v>3778</v>
      </c>
      <c r="E395" s="26" t="s">
        <v>3784</v>
      </c>
      <c r="F395" s="53" t="s">
        <v>3780</v>
      </c>
      <c r="G395" s="56" t="s">
        <v>28</v>
      </c>
      <c r="H395" s="26" t="s">
        <v>3504</v>
      </c>
      <c r="I395" s="53" t="s">
        <v>19</v>
      </c>
      <c r="J395" s="53">
        <v>7375</v>
      </c>
      <c r="K395" s="53">
        <v>56.7866</v>
      </c>
      <c r="L395" s="59">
        <f t="shared" si="51"/>
        <v>129.87218815706521</v>
      </c>
      <c r="M395" s="53">
        <v>48</v>
      </c>
      <c r="N395" s="57">
        <f t="shared" si="53"/>
        <v>153.64583333333334</v>
      </c>
      <c r="O395" s="38">
        <f t="shared" ca="1" si="55"/>
        <v>47</v>
      </c>
      <c r="P395" s="36">
        <f t="shared" ca="1" si="56"/>
        <v>153.64583333333303</v>
      </c>
      <c r="Q395" s="36">
        <f t="shared" ca="1" si="54"/>
        <v>153.64583333333303</v>
      </c>
      <c r="R395" s="535" t="s">
        <v>3782</v>
      </c>
    </row>
    <row r="396" spans="2:18" s="4" customFormat="1" ht="38.25" customHeight="1" x14ac:dyDescent="0.25">
      <c r="B396" s="24">
        <v>44442</v>
      </c>
      <c r="C396" s="24" t="s">
        <v>2349</v>
      </c>
      <c r="D396" s="53" t="s">
        <v>3778</v>
      </c>
      <c r="E396" s="26" t="s">
        <v>3785</v>
      </c>
      <c r="F396" s="53" t="s">
        <v>3780</v>
      </c>
      <c r="G396" s="56" t="s">
        <v>28</v>
      </c>
      <c r="H396" s="26" t="s">
        <v>3504</v>
      </c>
      <c r="I396" s="53" t="s">
        <v>19</v>
      </c>
      <c r="J396" s="53">
        <v>7375</v>
      </c>
      <c r="K396" s="53">
        <v>56.7866</v>
      </c>
      <c r="L396" s="59">
        <f t="shared" si="51"/>
        <v>129.87218815706521</v>
      </c>
      <c r="M396" s="53">
        <v>48</v>
      </c>
      <c r="N396" s="57">
        <f t="shared" si="53"/>
        <v>153.64583333333334</v>
      </c>
      <c r="O396" s="38">
        <f t="shared" ca="1" si="55"/>
        <v>47</v>
      </c>
      <c r="P396" s="36">
        <f t="shared" ca="1" si="56"/>
        <v>153.64583333333303</v>
      </c>
      <c r="Q396" s="36">
        <f t="shared" ca="1" si="54"/>
        <v>153.64583333333303</v>
      </c>
      <c r="R396" s="535" t="s">
        <v>3782</v>
      </c>
    </row>
    <row r="397" spans="2:18" s="4" customFormat="1" ht="36" customHeight="1" x14ac:dyDescent="0.25">
      <c r="B397" s="24">
        <v>44442</v>
      </c>
      <c r="C397" s="24" t="s">
        <v>2349</v>
      </c>
      <c r="D397" s="53" t="s">
        <v>3778</v>
      </c>
      <c r="E397" s="26" t="s">
        <v>3786</v>
      </c>
      <c r="F397" s="53" t="s">
        <v>3780</v>
      </c>
      <c r="G397" s="56" t="s">
        <v>28</v>
      </c>
      <c r="H397" s="26" t="s">
        <v>3504</v>
      </c>
      <c r="I397" s="53" t="s">
        <v>19</v>
      </c>
      <c r="J397" s="53">
        <v>7375</v>
      </c>
      <c r="K397" s="53">
        <v>56.7866</v>
      </c>
      <c r="L397" s="59">
        <f t="shared" si="51"/>
        <v>129.87218815706521</v>
      </c>
      <c r="M397" s="53">
        <v>48</v>
      </c>
      <c r="N397" s="57">
        <f t="shared" si="53"/>
        <v>153.64583333333334</v>
      </c>
      <c r="O397" s="38">
        <f t="shared" ca="1" si="55"/>
        <v>47</v>
      </c>
      <c r="P397" s="36">
        <f t="shared" ca="1" si="56"/>
        <v>153.64583333333303</v>
      </c>
      <c r="Q397" s="36">
        <f t="shared" ca="1" si="54"/>
        <v>153.64583333333303</v>
      </c>
      <c r="R397" s="535" t="s">
        <v>3782</v>
      </c>
    </row>
    <row r="398" spans="2:18" s="4" customFormat="1" ht="36" customHeight="1" x14ac:dyDescent="0.25">
      <c r="B398" s="24">
        <v>44442</v>
      </c>
      <c r="C398" s="24" t="s">
        <v>2349</v>
      </c>
      <c r="D398" s="53" t="s">
        <v>3778</v>
      </c>
      <c r="E398" s="26" t="s">
        <v>3787</v>
      </c>
      <c r="F398" s="53" t="s">
        <v>3780</v>
      </c>
      <c r="G398" s="56" t="s">
        <v>28</v>
      </c>
      <c r="H398" s="26" t="s">
        <v>3504</v>
      </c>
      <c r="I398" s="53" t="s">
        <v>19</v>
      </c>
      <c r="J398" s="53">
        <v>7375</v>
      </c>
      <c r="K398" s="53">
        <v>56.7866</v>
      </c>
      <c r="L398" s="59">
        <f t="shared" si="51"/>
        <v>129.87218815706521</v>
      </c>
      <c r="M398" s="53">
        <v>48</v>
      </c>
      <c r="N398" s="57">
        <f t="shared" si="53"/>
        <v>153.64583333333334</v>
      </c>
      <c r="O398" s="38">
        <f t="shared" ca="1" si="55"/>
        <v>47</v>
      </c>
      <c r="P398" s="36">
        <f t="shared" ca="1" si="56"/>
        <v>153.64583333333303</v>
      </c>
      <c r="Q398" s="36">
        <f t="shared" ca="1" si="54"/>
        <v>153.64583333333303</v>
      </c>
      <c r="R398" s="535" t="s">
        <v>3782</v>
      </c>
    </row>
    <row r="399" spans="2:18" s="4" customFormat="1" ht="78.75" customHeight="1" x14ac:dyDescent="0.25">
      <c r="B399" s="24">
        <v>44448</v>
      </c>
      <c r="C399" s="24" t="s">
        <v>2349</v>
      </c>
      <c r="D399" s="53" t="s">
        <v>3788</v>
      </c>
      <c r="E399" s="26" t="s">
        <v>3789</v>
      </c>
      <c r="F399" s="53" t="s">
        <v>3790</v>
      </c>
      <c r="G399" s="56" t="s">
        <v>28</v>
      </c>
      <c r="H399" s="53" t="s">
        <v>3722</v>
      </c>
      <c r="I399" s="53" t="s">
        <v>19</v>
      </c>
      <c r="J399" s="53">
        <v>79880.42</v>
      </c>
      <c r="K399" s="53">
        <v>56.753500000000003</v>
      </c>
      <c r="L399" s="59">
        <f t="shared" si="51"/>
        <v>1407.4976873672988</v>
      </c>
      <c r="M399" s="53">
        <v>48</v>
      </c>
      <c r="N399" s="57">
        <f t="shared" si="53"/>
        <v>1664.1754166666667</v>
      </c>
      <c r="O399" s="38">
        <f t="shared" ca="1" si="55"/>
        <v>47</v>
      </c>
      <c r="P399" s="36">
        <f t="shared" ca="1" si="56"/>
        <v>1664.1754166666651</v>
      </c>
      <c r="Q399" s="36">
        <f t="shared" ca="1" si="54"/>
        <v>1664.1754166666651</v>
      </c>
      <c r="R399" s="535" t="s">
        <v>2702</v>
      </c>
    </row>
    <row r="400" spans="2:18" s="4" customFormat="1" ht="84.95" customHeight="1" x14ac:dyDescent="0.25">
      <c r="B400" s="24">
        <v>44448</v>
      </c>
      <c r="C400" s="24" t="s">
        <v>2349</v>
      </c>
      <c r="D400" s="53" t="s">
        <v>3788</v>
      </c>
      <c r="E400" s="26" t="s">
        <v>3791</v>
      </c>
      <c r="F400" s="53" t="s">
        <v>3792</v>
      </c>
      <c r="G400" s="56" t="s">
        <v>28</v>
      </c>
      <c r="H400" s="53" t="s">
        <v>3722</v>
      </c>
      <c r="I400" s="53" t="s">
        <v>19</v>
      </c>
      <c r="J400" s="53">
        <v>79880.42</v>
      </c>
      <c r="K400" s="53">
        <v>56.753500000000003</v>
      </c>
      <c r="L400" s="59">
        <f t="shared" si="51"/>
        <v>1407.4976873672988</v>
      </c>
      <c r="M400" s="53">
        <v>48</v>
      </c>
      <c r="N400" s="57">
        <f t="shared" si="53"/>
        <v>1664.1754166666667</v>
      </c>
      <c r="O400" s="38">
        <f t="shared" ca="1" si="55"/>
        <v>47</v>
      </c>
      <c r="P400" s="36">
        <f t="shared" ca="1" si="56"/>
        <v>1664.1754166666651</v>
      </c>
      <c r="Q400" s="36">
        <f t="shared" ca="1" si="54"/>
        <v>1664.1754166666651</v>
      </c>
      <c r="R400" s="535" t="s">
        <v>2702</v>
      </c>
    </row>
    <row r="401" spans="2:18" s="4" customFormat="1" ht="84.95" customHeight="1" x14ac:dyDescent="0.25">
      <c r="B401" s="24">
        <v>44448</v>
      </c>
      <c r="C401" s="24" t="s">
        <v>2349</v>
      </c>
      <c r="D401" s="53" t="s">
        <v>3788</v>
      </c>
      <c r="E401" s="26" t="s">
        <v>3793</v>
      </c>
      <c r="F401" s="53" t="s">
        <v>3792</v>
      </c>
      <c r="G401" s="56" t="s">
        <v>28</v>
      </c>
      <c r="H401" s="53" t="s">
        <v>3722</v>
      </c>
      <c r="I401" s="53" t="s">
        <v>19</v>
      </c>
      <c r="J401" s="53">
        <v>79880.42</v>
      </c>
      <c r="K401" s="53">
        <v>56.753500000000003</v>
      </c>
      <c r="L401" s="59">
        <f t="shared" si="51"/>
        <v>1407.4976873672988</v>
      </c>
      <c r="M401" s="53">
        <v>48</v>
      </c>
      <c r="N401" s="57">
        <f t="shared" si="53"/>
        <v>1664.1754166666667</v>
      </c>
      <c r="O401" s="38">
        <f t="shared" ca="1" si="55"/>
        <v>47</v>
      </c>
      <c r="P401" s="36">
        <f t="shared" ca="1" si="56"/>
        <v>1664.1754166666651</v>
      </c>
      <c r="Q401" s="36">
        <f t="shared" ca="1" si="54"/>
        <v>1664.1754166666651</v>
      </c>
      <c r="R401" s="535" t="s">
        <v>2702</v>
      </c>
    </row>
    <row r="402" spans="2:18" s="4" customFormat="1" ht="84.95" customHeight="1" x14ac:dyDescent="0.25">
      <c r="B402" s="24">
        <v>44448</v>
      </c>
      <c r="C402" s="24" t="s">
        <v>2349</v>
      </c>
      <c r="D402" s="53" t="s">
        <v>3788</v>
      </c>
      <c r="E402" s="26" t="s">
        <v>3794</v>
      </c>
      <c r="F402" s="53" t="s">
        <v>3795</v>
      </c>
      <c r="G402" s="56" t="s">
        <v>28</v>
      </c>
      <c r="H402" s="53" t="s">
        <v>3722</v>
      </c>
      <c r="I402" s="53" t="s">
        <v>19</v>
      </c>
      <c r="J402" s="53">
        <v>79880.42</v>
      </c>
      <c r="K402" s="53">
        <v>56.753500000000003</v>
      </c>
      <c r="L402" s="59">
        <f t="shared" si="51"/>
        <v>1407.4976873672988</v>
      </c>
      <c r="M402" s="53">
        <v>48</v>
      </c>
      <c r="N402" s="57">
        <f t="shared" si="53"/>
        <v>1664.1754166666667</v>
      </c>
      <c r="O402" s="38">
        <f t="shared" ca="1" si="55"/>
        <v>47</v>
      </c>
      <c r="P402" s="36">
        <f t="shared" ca="1" si="56"/>
        <v>1664.1754166666651</v>
      </c>
      <c r="Q402" s="36">
        <f t="shared" ca="1" si="54"/>
        <v>1664.1754166666651</v>
      </c>
      <c r="R402" s="535" t="s">
        <v>2702</v>
      </c>
    </row>
    <row r="403" spans="2:18" s="4" customFormat="1" ht="84.95" customHeight="1" x14ac:dyDescent="0.25">
      <c r="B403" s="24">
        <v>44448</v>
      </c>
      <c r="C403" s="24" t="s">
        <v>2349</v>
      </c>
      <c r="D403" s="53" t="s">
        <v>3788</v>
      </c>
      <c r="E403" s="26" t="s">
        <v>3796</v>
      </c>
      <c r="F403" s="53" t="s">
        <v>3792</v>
      </c>
      <c r="G403" s="56" t="s">
        <v>28</v>
      </c>
      <c r="H403" s="53" t="s">
        <v>3722</v>
      </c>
      <c r="I403" s="53" t="s">
        <v>19</v>
      </c>
      <c r="J403" s="53">
        <v>79880.42</v>
      </c>
      <c r="K403" s="53">
        <v>56.753500000000003</v>
      </c>
      <c r="L403" s="59">
        <f t="shared" si="51"/>
        <v>1407.4976873672988</v>
      </c>
      <c r="M403" s="53">
        <v>48</v>
      </c>
      <c r="N403" s="57">
        <f t="shared" si="53"/>
        <v>1664.1754166666667</v>
      </c>
      <c r="O403" s="38">
        <f t="shared" ca="1" si="55"/>
        <v>47</v>
      </c>
      <c r="P403" s="36">
        <f t="shared" ca="1" si="56"/>
        <v>1664.1754166666651</v>
      </c>
      <c r="Q403" s="36">
        <f t="shared" ca="1" si="54"/>
        <v>1664.1754166666651</v>
      </c>
      <c r="R403" s="535" t="s">
        <v>2702</v>
      </c>
    </row>
    <row r="404" spans="2:18" s="4" customFormat="1" ht="84.95" customHeight="1" x14ac:dyDescent="0.25">
      <c r="B404" s="24">
        <v>44448</v>
      </c>
      <c r="C404" s="24" t="s">
        <v>2349</v>
      </c>
      <c r="D404" s="53" t="s">
        <v>3788</v>
      </c>
      <c r="E404" s="26" t="s">
        <v>3797</v>
      </c>
      <c r="F404" s="53" t="s">
        <v>3792</v>
      </c>
      <c r="G404" s="56" t="s">
        <v>28</v>
      </c>
      <c r="H404" s="53" t="s">
        <v>3722</v>
      </c>
      <c r="I404" s="53" t="s">
        <v>19</v>
      </c>
      <c r="J404" s="53">
        <v>79880.42</v>
      </c>
      <c r="K404" s="53">
        <v>56.753500000000003</v>
      </c>
      <c r="L404" s="59">
        <f t="shared" si="51"/>
        <v>1407.4976873672988</v>
      </c>
      <c r="M404" s="53">
        <v>48</v>
      </c>
      <c r="N404" s="57">
        <f t="shared" si="53"/>
        <v>1664.1754166666667</v>
      </c>
      <c r="O404" s="38">
        <f t="shared" ca="1" si="55"/>
        <v>47</v>
      </c>
      <c r="P404" s="36">
        <f t="shared" ca="1" si="56"/>
        <v>1664.1754166666651</v>
      </c>
      <c r="Q404" s="36">
        <f t="shared" ca="1" si="54"/>
        <v>1664.1754166666651</v>
      </c>
      <c r="R404" s="535" t="s">
        <v>2702</v>
      </c>
    </row>
    <row r="405" spans="2:18" s="4" customFormat="1" ht="84.95" customHeight="1" x14ac:dyDescent="0.25">
      <c r="B405" s="24">
        <v>44448</v>
      </c>
      <c r="C405" s="24" t="s">
        <v>2349</v>
      </c>
      <c r="D405" s="53" t="s">
        <v>3788</v>
      </c>
      <c r="E405" s="26" t="s">
        <v>3798</v>
      </c>
      <c r="F405" s="53" t="s">
        <v>3792</v>
      </c>
      <c r="G405" s="56" t="s">
        <v>28</v>
      </c>
      <c r="H405" s="53" t="s">
        <v>3722</v>
      </c>
      <c r="I405" s="53" t="s">
        <v>19</v>
      </c>
      <c r="J405" s="53">
        <v>79880.42</v>
      </c>
      <c r="K405" s="53">
        <v>56.753500000000003</v>
      </c>
      <c r="L405" s="59">
        <f t="shared" si="51"/>
        <v>1407.4976873672988</v>
      </c>
      <c r="M405" s="53">
        <v>48</v>
      </c>
      <c r="N405" s="57">
        <f t="shared" ref="N405:N453" si="57">J405/M405</f>
        <v>1664.1754166666667</v>
      </c>
      <c r="O405" s="38">
        <f t="shared" ca="1" si="55"/>
        <v>47</v>
      </c>
      <c r="P405" s="36">
        <f t="shared" ca="1" si="56"/>
        <v>1664.1754166666651</v>
      </c>
      <c r="Q405" s="36">
        <f t="shared" ca="1" si="54"/>
        <v>1664.1754166666651</v>
      </c>
      <c r="R405" s="535" t="s">
        <v>2702</v>
      </c>
    </row>
    <row r="406" spans="2:18" s="4" customFormat="1" ht="84.95" customHeight="1" x14ac:dyDescent="0.25">
      <c r="B406" s="24">
        <v>44448</v>
      </c>
      <c r="C406" s="24" t="s">
        <v>2349</v>
      </c>
      <c r="D406" s="53" t="s">
        <v>3788</v>
      </c>
      <c r="E406" s="26" t="s">
        <v>3799</v>
      </c>
      <c r="F406" s="53" t="s">
        <v>3792</v>
      </c>
      <c r="G406" s="56" t="s">
        <v>28</v>
      </c>
      <c r="H406" s="53" t="s">
        <v>3722</v>
      </c>
      <c r="I406" s="53" t="s">
        <v>19</v>
      </c>
      <c r="J406" s="53">
        <v>79880.42</v>
      </c>
      <c r="K406" s="53">
        <v>56.753500000000003</v>
      </c>
      <c r="L406" s="59">
        <f t="shared" si="51"/>
        <v>1407.4976873672988</v>
      </c>
      <c r="M406" s="53">
        <v>48</v>
      </c>
      <c r="N406" s="57">
        <f t="shared" si="57"/>
        <v>1664.1754166666667</v>
      </c>
      <c r="O406" s="38">
        <f t="shared" ca="1" si="55"/>
        <v>47</v>
      </c>
      <c r="P406" s="36">
        <f t="shared" ca="1" si="56"/>
        <v>1664.1754166666651</v>
      </c>
      <c r="Q406" s="36">
        <f t="shared" ca="1" si="54"/>
        <v>1664.1754166666651</v>
      </c>
      <c r="R406" s="535" t="s">
        <v>2702</v>
      </c>
    </row>
    <row r="407" spans="2:18" s="4" customFormat="1" ht="54.95" customHeight="1" x14ac:dyDescent="0.25">
      <c r="B407" s="24">
        <v>44448</v>
      </c>
      <c r="C407" s="24" t="s">
        <v>2349</v>
      </c>
      <c r="D407" s="53" t="s">
        <v>3788</v>
      </c>
      <c r="E407" s="26" t="s">
        <v>3800</v>
      </c>
      <c r="F407" s="53" t="s">
        <v>3801</v>
      </c>
      <c r="G407" s="56" t="s">
        <v>3802</v>
      </c>
      <c r="H407" s="53" t="s">
        <v>3722</v>
      </c>
      <c r="I407" s="53" t="s">
        <v>19</v>
      </c>
      <c r="J407" s="53">
        <v>8290.69</v>
      </c>
      <c r="K407" s="53">
        <v>56.753500000000003</v>
      </c>
      <c r="L407" s="59">
        <f t="shared" si="51"/>
        <v>146.08244425453938</v>
      </c>
      <c r="M407" s="53">
        <v>36</v>
      </c>
      <c r="N407" s="57">
        <f t="shared" si="57"/>
        <v>230.29694444444445</v>
      </c>
      <c r="O407" s="38">
        <f t="shared" ca="1" si="55"/>
        <v>47</v>
      </c>
      <c r="P407" s="36">
        <f t="shared" ca="1" si="56"/>
        <v>-2533.2663888888892</v>
      </c>
      <c r="Q407" s="36">
        <f t="shared" ca="1" si="54"/>
        <v>1</v>
      </c>
      <c r="R407" s="535" t="s">
        <v>2702</v>
      </c>
    </row>
    <row r="408" spans="2:18" s="4" customFormat="1" ht="54.95" customHeight="1" x14ac:dyDescent="0.25">
      <c r="B408" s="24">
        <v>44448</v>
      </c>
      <c r="C408" s="24" t="s">
        <v>2349</v>
      </c>
      <c r="D408" s="53" t="s">
        <v>3788</v>
      </c>
      <c r="E408" s="26" t="s">
        <v>3803</v>
      </c>
      <c r="F408" s="53" t="s">
        <v>3801</v>
      </c>
      <c r="G408" s="56" t="s">
        <v>3802</v>
      </c>
      <c r="H408" s="53" t="s">
        <v>3722</v>
      </c>
      <c r="I408" s="53" t="s">
        <v>19</v>
      </c>
      <c r="J408" s="53">
        <v>8290.69</v>
      </c>
      <c r="K408" s="53">
        <v>56.753500000000003</v>
      </c>
      <c r="L408" s="59">
        <f t="shared" si="51"/>
        <v>146.08244425453938</v>
      </c>
      <c r="M408" s="53">
        <v>36</v>
      </c>
      <c r="N408" s="57">
        <f t="shared" si="57"/>
        <v>230.29694444444445</v>
      </c>
      <c r="O408" s="38">
        <f t="shared" ca="1" si="55"/>
        <v>47</v>
      </c>
      <c r="P408" s="36">
        <f t="shared" ca="1" si="56"/>
        <v>-2533.2663888888892</v>
      </c>
      <c r="Q408" s="36">
        <f t="shared" ca="1" si="54"/>
        <v>1</v>
      </c>
      <c r="R408" s="535" t="s">
        <v>2702</v>
      </c>
    </row>
    <row r="409" spans="2:18" s="4" customFormat="1" ht="54.95" customHeight="1" x14ac:dyDescent="0.25">
      <c r="B409" s="24">
        <v>44448</v>
      </c>
      <c r="C409" s="24" t="s">
        <v>2349</v>
      </c>
      <c r="D409" s="53" t="s">
        <v>3788</v>
      </c>
      <c r="E409" s="26" t="s">
        <v>3804</v>
      </c>
      <c r="F409" s="53" t="s">
        <v>3801</v>
      </c>
      <c r="G409" s="56" t="s">
        <v>3802</v>
      </c>
      <c r="H409" s="53" t="s">
        <v>3722</v>
      </c>
      <c r="I409" s="53" t="s">
        <v>19</v>
      </c>
      <c r="J409" s="53">
        <v>8290.69</v>
      </c>
      <c r="K409" s="53">
        <v>56.753500000000003</v>
      </c>
      <c r="L409" s="59">
        <f t="shared" si="51"/>
        <v>146.08244425453938</v>
      </c>
      <c r="M409" s="53">
        <v>36</v>
      </c>
      <c r="N409" s="57">
        <f t="shared" si="57"/>
        <v>230.29694444444445</v>
      </c>
      <c r="O409" s="38">
        <f t="shared" ca="1" si="55"/>
        <v>47</v>
      </c>
      <c r="P409" s="36">
        <f t="shared" ca="1" si="56"/>
        <v>-2533.2663888888892</v>
      </c>
      <c r="Q409" s="36">
        <f t="shared" ca="1" si="54"/>
        <v>1</v>
      </c>
      <c r="R409" s="535" t="s">
        <v>2702</v>
      </c>
    </row>
    <row r="410" spans="2:18" s="4" customFormat="1" ht="54.95" customHeight="1" x14ac:dyDescent="0.25">
      <c r="B410" s="24">
        <v>44448</v>
      </c>
      <c r="C410" s="24" t="s">
        <v>2349</v>
      </c>
      <c r="D410" s="53" t="s">
        <v>3788</v>
      </c>
      <c r="E410" s="26" t="s">
        <v>3805</v>
      </c>
      <c r="F410" s="53" t="s">
        <v>3801</v>
      </c>
      <c r="G410" s="56" t="s">
        <v>3802</v>
      </c>
      <c r="H410" s="53" t="s">
        <v>3722</v>
      </c>
      <c r="I410" s="53" t="s">
        <v>19</v>
      </c>
      <c r="J410" s="53">
        <v>8290.69</v>
      </c>
      <c r="K410" s="53">
        <v>56.753500000000003</v>
      </c>
      <c r="L410" s="59">
        <f t="shared" si="51"/>
        <v>146.08244425453938</v>
      </c>
      <c r="M410" s="53">
        <v>36</v>
      </c>
      <c r="N410" s="57">
        <f t="shared" si="57"/>
        <v>230.29694444444445</v>
      </c>
      <c r="O410" s="38">
        <f t="shared" ca="1" si="55"/>
        <v>47</v>
      </c>
      <c r="P410" s="36">
        <f t="shared" ca="1" si="56"/>
        <v>-2533.2663888888892</v>
      </c>
      <c r="Q410" s="36">
        <f t="shared" ca="1" si="54"/>
        <v>1</v>
      </c>
      <c r="R410" s="535" t="s">
        <v>2702</v>
      </c>
    </row>
    <row r="411" spans="2:18" s="4" customFormat="1" ht="54.95" customHeight="1" x14ac:dyDescent="0.25">
      <c r="B411" s="24">
        <v>44448</v>
      </c>
      <c r="C411" s="24" t="s">
        <v>2349</v>
      </c>
      <c r="D411" s="53" t="s">
        <v>3788</v>
      </c>
      <c r="E411" s="26" t="s">
        <v>3806</v>
      </c>
      <c r="F411" s="53" t="s">
        <v>3801</v>
      </c>
      <c r="G411" s="56" t="s">
        <v>3802</v>
      </c>
      <c r="H411" s="53" t="s">
        <v>3722</v>
      </c>
      <c r="I411" s="53" t="s">
        <v>19</v>
      </c>
      <c r="J411" s="53">
        <v>8290.69</v>
      </c>
      <c r="K411" s="53">
        <v>56.753500000000003</v>
      </c>
      <c r="L411" s="59">
        <f t="shared" si="51"/>
        <v>146.08244425453938</v>
      </c>
      <c r="M411" s="53">
        <v>36</v>
      </c>
      <c r="N411" s="57">
        <f t="shared" si="57"/>
        <v>230.29694444444445</v>
      </c>
      <c r="O411" s="38">
        <f t="shared" ca="1" si="55"/>
        <v>47</v>
      </c>
      <c r="P411" s="36">
        <f t="shared" ca="1" si="56"/>
        <v>-2533.2663888888892</v>
      </c>
      <c r="Q411" s="36">
        <f t="shared" ca="1" si="54"/>
        <v>1</v>
      </c>
      <c r="R411" s="535" t="s">
        <v>2702</v>
      </c>
    </row>
    <row r="412" spans="2:18" s="4" customFormat="1" ht="81.75" customHeight="1" x14ac:dyDescent="0.25">
      <c r="B412" s="24">
        <v>44448</v>
      </c>
      <c r="C412" s="24" t="s">
        <v>2349</v>
      </c>
      <c r="D412" s="53" t="s">
        <v>3788</v>
      </c>
      <c r="E412" s="26" t="s">
        <v>3807</v>
      </c>
      <c r="F412" s="53" t="s">
        <v>3808</v>
      </c>
      <c r="G412" s="56" t="s">
        <v>3809</v>
      </c>
      <c r="H412" s="53" t="s">
        <v>3722</v>
      </c>
      <c r="I412" s="53" t="s">
        <v>19</v>
      </c>
      <c r="J412" s="53">
        <v>3068</v>
      </c>
      <c r="K412" s="53">
        <v>56.753500000000003</v>
      </c>
      <c r="L412" s="59">
        <f t="shared" si="51"/>
        <v>54.058340014272247</v>
      </c>
      <c r="M412" s="53">
        <v>36</v>
      </c>
      <c r="N412" s="57">
        <f t="shared" si="57"/>
        <v>85.222222222222229</v>
      </c>
      <c r="O412" s="38">
        <f t="shared" ca="1" si="55"/>
        <v>47</v>
      </c>
      <c r="P412" s="36">
        <f t="shared" ca="1" si="56"/>
        <v>-937.4444444444448</v>
      </c>
      <c r="Q412" s="36">
        <f t="shared" ca="1" si="54"/>
        <v>1</v>
      </c>
      <c r="R412" s="535" t="s">
        <v>2702</v>
      </c>
    </row>
    <row r="413" spans="2:18" s="4" customFormat="1" ht="75" customHeight="1" x14ac:dyDescent="0.25">
      <c r="B413" s="24">
        <v>44448</v>
      </c>
      <c r="C413" s="24" t="s">
        <v>2349</v>
      </c>
      <c r="D413" s="53" t="s">
        <v>3788</v>
      </c>
      <c r="E413" s="26" t="s">
        <v>3810</v>
      </c>
      <c r="F413" s="53" t="s">
        <v>3808</v>
      </c>
      <c r="G413" s="56" t="s">
        <v>3809</v>
      </c>
      <c r="H413" s="53" t="s">
        <v>3722</v>
      </c>
      <c r="I413" s="53" t="s">
        <v>19</v>
      </c>
      <c r="J413" s="53">
        <v>3068</v>
      </c>
      <c r="K413" s="53">
        <v>56.753500000000003</v>
      </c>
      <c r="L413" s="59">
        <f t="shared" si="51"/>
        <v>54.058340014272247</v>
      </c>
      <c r="M413" s="53">
        <v>36</v>
      </c>
      <c r="N413" s="57">
        <f t="shared" si="57"/>
        <v>85.222222222222229</v>
      </c>
      <c r="O413" s="38">
        <f t="shared" ca="1" si="55"/>
        <v>47</v>
      </c>
      <c r="P413" s="36">
        <f t="shared" ca="1" si="56"/>
        <v>-937.4444444444448</v>
      </c>
      <c r="Q413" s="36">
        <f t="shared" ca="1" si="54"/>
        <v>1</v>
      </c>
      <c r="R413" s="535" t="s">
        <v>2702</v>
      </c>
    </row>
    <row r="414" spans="2:18" s="4" customFormat="1" ht="75" customHeight="1" x14ac:dyDescent="0.25">
      <c r="B414" s="24">
        <v>44448</v>
      </c>
      <c r="C414" s="24" t="s">
        <v>2349</v>
      </c>
      <c r="D414" s="53" t="s">
        <v>3788</v>
      </c>
      <c r="E414" s="26" t="s">
        <v>3811</v>
      </c>
      <c r="F414" s="53" t="s">
        <v>3808</v>
      </c>
      <c r="G414" s="56" t="s">
        <v>3809</v>
      </c>
      <c r="H414" s="53" t="s">
        <v>3722</v>
      </c>
      <c r="I414" s="53" t="s">
        <v>19</v>
      </c>
      <c r="J414" s="53">
        <v>3068</v>
      </c>
      <c r="K414" s="53">
        <v>56.753500000000003</v>
      </c>
      <c r="L414" s="59">
        <f t="shared" si="51"/>
        <v>54.058340014272247</v>
      </c>
      <c r="M414" s="53">
        <v>36</v>
      </c>
      <c r="N414" s="57">
        <f t="shared" si="57"/>
        <v>85.222222222222229</v>
      </c>
      <c r="O414" s="38">
        <f t="shared" ca="1" si="55"/>
        <v>47</v>
      </c>
      <c r="P414" s="36">
        <f t="shared" ca="1" si="56"/>
        <v>-937.4444444444448</v>
      </c>
      <c r="Q414" s="36">
        <f t="shared" ca="1" si="54"/>
        <v>1</v>
      </c>
      <c r="R414" s="535" t="s">
        <v>2702</v>
      </c>
    </row>
    <row r="415" spans="2:18" s="4" customFormat="1" ht="75" customHeight="1" x14ac:dyDescent="0.25">
      <c r="B415" s="24">
        <v>44448</v>
      </c>
      <c r="C415" s="24" t="s">
        <v>2349</v>
      </c>
      <c r="D415" s="53" t="s">
        <v>3788</v>
      </c>
      <c r="E415" s="26" t="s">
        <v>3812</v>
      </c>
      <c r="F415" s="53" t="s">
        <v>3808</v>
      </c>
      <c r="G415" s="56" t="s">
        <v>3809</v>
      </c>
      <c r="H415" s="53" t="s">
        <v>3722</v>
      </c>
      <c r="I415" s="53" t="s">
        <v>19</v>
      </c>
      <c r="J415" s="53">
        <v>3068</v>
      </c>
      <c r="K415" s="53">
        <v>56.753500000000003</v>
      </c>
      <c r="L415" s="59">
        <f t="shared" si="51"/>
        <v>54.058340014272247</v>
      </c>
      <c r="M415" s="53">
        <v>36</v>
      </c>
      <c r="N415" s="57">
        <f t="shared" si="57"/>
        <v>85.222222222222229</v>
      </c>
      <c r="O415" s="38">
        <f t="shared" ca="1" si="55"/>
        <v>47</v>
      </c>
      <c r="P415" s="36">
        <f t="shared" ca="1" si="56"/>
        <v>-937.4444444444448</v>
      </c>
      <c r="Q415" s="36">
        <f t="shared" ca="1" si="54"/>
        <v>1</v>
      </c>
      <c r="R415" s="535" t="s">
        <v>2702</v>
      </c>
    </row>
    <row r="416" spans="2:18" s="4" customFormat="1" ht="75" customHeight="1" x14ac:dyDescent="0.25">
      <c r="B416" s="24">
        <v>44448</v>
      </c>
      <c r="C416" s="24" t="s">
        <v>2349</v>
      </c>
      <c r="D416" s="53" t="s">
        <v>3788</v>
      </c>
      <c r="E416" s="26" t="s">
        <v>3813</v>
      </c>
      <c r="F416" s="53" t="s">
        <v>3808</v>
      </c>
      <c r="G416" s="56" t="s">
        <v>3809</v>
      </c>
      <c r="H416" s="53" t="s">
        <v>3722</v>
      </c>
      <c r="I416" s="53" t="s">
        <v>19</v>
      </c>
      <c r="J416" s="53">
        <v>3068</v>
      </c>
      <c r="K416" s="53">
        <v>56.753500000000003</v>
      </c>
      <c r="L416" s="59">
        <f t="shared" si="51"/>
        <v>54.058340014272247</v>
      </c>
      <c r="M416" s="53">
        <v>36</v>
      </c>
      <c r="N416" s="57">
        <f t="shared" si="57"/>
        <v>85.222222222222229</v>
      </c>
      <c r="O416" s="38">
        <f t="shared" ca="1" si="55"/>
        <v>47</v>
      </c>
      <c r="P416" s="36">
        <f t="shared" ca="1" si="56"/>
        <v>-937.4444444444448</v>
      </c>
      <c r="Q416" s="36">
        <f t="shared" ca="1" si="54"/>
        <v>1</v>
      </c>
      <c r="R416" s="535" t="s">
        <v>2702</v>
      </c>
    </row>
    <row r="417" spans="2:18" s="4" customFormat="1" ht="75" customHeight="1" x14ac:dyDescent="0.25">
      <c r="B417" s="24">
        <v>44448</v>
      </c>
      <c r="C417" s="24" t="s">
        <v>2349</v>
      </c>
      <c r="D417" s="53" t="s">
        <v>3788</v>
      </c>
      <c r="E417" s="26" t="s">
        <v>3814</v>
      </c>
      <c r="F417" s="53" t="s">
        <v>3808</v>
      </c>
      <c r="G417" s="56" t="s">
        <v>3809</v>
      </c>
      <c r="H417" s="53" t="s">
        <v>3722</v>
      </c>
      <c r="I417" s="53" t="s">
        <v>19</v>
      </c>
      <c r="J417" s="53">
        <v>3068</v>
      </c>
      <c r="K417" s="53">
        <v>56.753500000000003</v>
      </c>
      <c r="L417" s="59">
        <f t="shared" si="51"/>
        <v>54.058340014272247</v>
      </c>
      <c r="M417" s="53">
        <v>36</v>
      </c>
      <c r="N417" s="57">
        <f t="shared" si="57"/>
        <v>85.222222222222229</v>
      </c>
      <c r="O417" s="38">
        <f t="shared" ca="1" si="55"/>
        <v>47</v>
      </c>
      <c r="P417" s="36">
        <f t="shared" ca="1" si="56"/>
        <v>-937.4444444444448</v>
      </c>
      <c r="Q417" s="36">
        <f t="shared" ca="1" si="54"/>
        <v>1</v>
      </c>
      <c r="R417" s="535" t="s">
        <v>2702</v>
      </c>
    </row>
    <row r="418" spans="2:18" s="4" customFormat="1" ht="75" customHeight="1" x14ac:dyDescent="0.25">
      <c r="B418" s="24">
        <v>44448</v>
      </c>
      <c r="C418" s="24" t="s">
        <v>2349</v>
      </c>
      <c r="D418" s="53" t="s">
        <v>3788</v>
      </c>
      <c r="E418" s="26" t="s">
        <v>3815</v>
      </c>
      <c r="F418" s="53" t="s">
        <v>3808</v>
      </c>
      <c r="G418" s="56" t="s">
        <v>3809</v>
      </c>
      <c r="H418" s="53" t="s">
        <v>3722</v>
      </c>
      <c r="I418" s="53" t="s">
        <v>19</v>
      </c>
      <c r="J418" s="53">
        <v>3068</v>
      </c>
      <c r="K418" s="53">
        <v>56.753500000000003</v>
      </c>
      <c r="L418" s="59">
        <f t="shared" si="51"/>
        <v>54.058340014272247</v>
      </c>
      <c r="M418" s="53">
        <v>36</v>
      </c>
      <c r="N418" s="57">
        <f t="shared" si="57"/>
        <v>85.222222222222229</v>
      </c>
      <c r="O418" s="38">
        <f t="shared" ca="1" si="55"/>
        <v>47</v>
      </c>
      <c r="P418" s="36">
        <f t="shared" ca="1" si="56"/>
        <v>-937.4444444444448</v>
      </c>
      <c r="Q418" s="36">
        <f t="shared" ca="1" si="54"/>
        <v>1</v>
      </c>
      <c r="R418" s="535" t="s">
        <v>2702</v>
      </c>
    </row>
    <row r="419" spans="2:18" s="4" customFormat="1" ht="75" customHeight="1" x14ac:dyDescent="0.25">
      <c r="B419" s="24">
        <v>44448</v>
      </c>
      <c r="C419" s="24" t="s">
        <v>2349</v>
      </c>
      <c r="D419" s="53" t="s">
        <v>3788</v>
      </c>
      <c r="E419" s="26" t="s">
        <v>3816</v>
      </c>
      <c r="F419" s="53" t="s">
        <v>3808</v>
      </c>
      <c r="G419" s="56" t="s">
        <v>3809</v>
      </c>
      <c r="H419" s="53" t="s">
        <v>3722</v>
      </c>
      <c r="I419" s="53" t="s">
        <v>19</v>
      </c>
      <c r="J419" s="53">
        <v>3068</v>
      </c>
      <c r="K419" s="53">
        <v>56.753500000000003</v>
      </c>
      <c r="L419" s="59">
        <f t="shared" si="51"/>
        <v>54.058340014272247</v>
      </c>
      <c r="M419" s="53">
        <v>36</v>
      </c>
      <c r="N419" s="57">
        <f t="shared" si="57"/>
        <v>85.222222222222229</v>
      </c>
      <c r="O419" s="38">
        <f t="shared" ca="1" si="55"/>
        <v>47</v>
      </c>
      <c r="P419" s="36">
        <f t="shared" ca="1" si="56"/>
        <v>-937.4444444444448</v>
      </c>
      <c r="Q419" s="36">
        <f t="shared" ca="1" si="54"/>
        <v>1</v>
      </c>
      <c r="R419" s="535" t="s">
        <v>2702</v>
      </c>
    </row>
    <row r="420" spans="2:18" s="4" customFormat="1" ht="75" customHeight="1" x14ac:dyDescent="0.25">
      <c r="B420" s="24">
        <v>44448</v>
      </c>
      <c r="C420" s="24" t="s">
        <v>2349</v>
      </c>
      <c r="D420" s="53" t="s">
        <v>3788</v>
      </c>
      <c r="E420" s="26" t="s">
        <v>3817</v>
      </c>
      <c r="F420" s="53" t="s">
        <v>3808</v>
      </c>
      <c r="G420" s="56" t="s">
        <v>3809</v>
      </c>
      <c r="H420" s="53" t="s">
        <v>3722</v>
      </c>
      <c r="I420" s="53" t="s">
        <v>19</v>
      </c>
      <c r="J420" s="53">
        <v>3068</v>
      </c>
      <c r="K420" s="53">
        <v>56.753500000000003</v>
      </c>
      <c r="L420" s="59">
        <f t="shared" si="51"/>
        <v>54.058340014272247</v>
      </c>
      <c r="M420" s="53">
        <v>36</v>
      </c>
      <c r="N420" s="57">
        <f t="shared" si="57"/>
        <v>85.222222222222229</v>
      </c>
      <c r="O420" s="38">
        <f t="shared" ca="1" si="55"/>
        <v>47</v>
      </c>
      <c r="P420" s="36">
        <f t="shared" ca="1" si="56"/>
        <v>-937.4444444444448</v>
      </c>
      <c r="Q420" s="36">
        <f t="shared" ca="1" si="54"/>
        <v>1</v>
      </c>
      <c r="R420" s="535" t="s">
        <v>2702</v>
      </c>
    </row>
    <row r="421" spans="2:18" s="4" customFormat="1" ht="75" customHeight="1" x14ac:dyDescent="0.25">
      <c r="B421" s="24">
        <v>44448</v>
      </c>
      <c r="C421" s="24" t="s">
        <v>2349</v>
      </c>
      <c r="D421" s="53" t="s">
        <v>3788</v>
      </c>
      <c r="E421" s="26" t="s">
        <v>3818</v>
      </c>
      <c r="F421" s="53" t="s">
        <v>3808</v>
      </c>
      <c r="G421" s="56" t="s">
        <v>3809</v>
      </c>
      <c r="H421" s="53" t="s">
        <v>3722</v>
      </c>
      <c r="I421" s="53" t="s">
        <v>19</v>
      </c>
      <c r="J421" s="53">
        <v>3068</v>
      </c>
      <c r="K421" s="53">
        <v>56.753500000000003</v>
      </c>
      <c r="L421" s="59">
        <f t="shared" si="51"/>
        <v>54.058340014272247</v>
      </c>
      <c r="M421" s="53">
        <v>36</v>
      </c>
      <c r="N421" s="57">
        <f t="shared" si="57"/>
        <v>85.222222222222229</v>
      </c>
      <c r="O421" s="38">
        <f t="shared" ca="1" si="55"/>
        <v>47</v>
      </c>
      <c r="P421" s="36">
        <f t="shared" ca="1" si="56"/>
        <v>-937.4444444444448</v>
      </c>
      <c r="Q421" s="36">
        <f t="shared" ca="1" si="54"/>
        <v>1</v>
      </c>
      <c r="R421" s="535" t="s">
        <v>2702</v>
      </c>
    </row>
    <row r="422" spans="2:18" s="4" customFormat="1" ht="43.5" customHeight="1" x14ac:dyDescent="0.25">
      <c r="B422" s="24">
        <v>44448</v>
      </c>
      <c r="C422" s="24" t="s">
        <v>2349</v>
      </c>
      <c r="D422" s="53" t="s">
        <v>3788</v>
      </c>
      <c r="E422" s="26" t="s">
        <v>3819</v>
      </c>
      <c r="F422" s="53" t="s">
        <v>3820</v>
      </c>
      <c r="G422" s="56" t="s">
        <v>18</v>
      </c>
      <c r="H422" s="53" t="s">
        <v>3722</v>
      </c>
      <c r="I422" s="53" t="s">
        <v>19</v>
      </c>
      <c r="J422" s="56">
        <v>29771.34</v>
      </c>
      <c r="K422" s="53">
        <v>56.753500000000003</v>
      </c>
      <c r="L422" s="59">
        <f t="shared" si="51"/>
        <v>524.57275762728284</v>
      </c>
      <c r="M422" s="53">
        <v>36</v>
      </c>
      <c r="N422" s="57">
        <f t="shared" si="57"/>
        <v>826.98166666666668</v>
      </c>
      <c r="O422" s="38">
        <f t="shared" ca="1" si="55"/>
        <v>47</v>
      </c>
      <c r="P422" s="36">
        <f t="shared" ca="1" si="56"/>
        <v>-9096.7983333333359</v>
      </c>
      <c r="Q422" s="36">
        <f t="shared" ca="1" si="54"/>
        <v>1</v>
      </c>
      <c r="R422" s="535" t="s">
        <v>2702</v>
      </c>
    </row>
    <row r="423" spans="2:18" s="4" customFormat="1" ht="58.5" customHeight="1" x14ac:dyDescent="0.25">
      <c r="B423" s="24">
        <v>44448</v>
      </c>
      <c r="C423" s="24" t="s">
        <v>2349</v>
      </c>
      <c r="D423" s="53" t="s">
        <v>3788</v>
      </c>
      <c r="E423" s="26" t="s">
        <v>3821</v>
      </c>
      <c r="F423" s="53" t="s">
        <v>3822</v>
      </c>
      <c r="G423" s="56" t="s">
        <v>18</v>
      </c>
      <c r="H423" s="53" t="s">
        <v>3722</v>
      </c>
      <c r="I423" s="53" t="s">
        <v>19</v>
      </c>
      <c r="J423" s="53">
        <v>1800</v>
      </c>
      <c r="K423" s="53">
        <v>56.753500000000003</v>
      </c>
      <c r="L423" s="59">
        <f t="shared" si="51"/>
        <v>31.716105614631694</v>
      </c>
      <c r="M423" s="53">
        <v>36</v>
      </c>
      <c r="N423" s="57">
        <f t="shared" si="57"/>
        <v>50</v>
      </c>
      <c r="O423" s="38">
        <f t="shared" ca="1" si="55"/>
        <v>47</v>
      </c>
      <c r="P423" s="36">
        <f t="shared" ca="1" si="56"/>
        <v>-550</v>
      </c>
      <c r="Q423" s="36">
        <f t="shared" ca="1" si="54"/>
        <v>1</v>
      </c>
      <c r="R423" s="535" t="s">
        <v>2702</v>
      </c>
    </row>
    <row r="424" spans="2:18" s="4" customFormat="1" ht="46.5" customHeight="1" x14ac:dyDescent="0.25">
      <c r="B424" s="24">
        <v>44448</v>
      </c>
      <c r="C424" s="24" t="s">
        <v>2349</v>
      </c>
      <c r="D424" s="53" t="s">
        <v>3788</v>
      </c>
      <c r="E424" s="26" t="s">
        <v>3823</v>
      </c>
      <c r="F424" s="53" t="s">
        <v>3824</v>
      </c>
      <c r="G424" s="56" t="s">
        <v>3825</v>
      </c>
      <c r="H424" s="53" t="s">
        <v>3722</v>
      </c>
      <c r="I424" s="53" t="s">
        <v>19</v>
      </c>
      <c r="J424" s="53">
        <v>3921</v>
      </c>
      <c r="K424" s="53">
        <v>56.753500000000003</v>
      </c>
      <c r="L424" s="59">
        <f t="shared" si="51"/>
        <v>69.088250063872707</v>
      </c>
      <c r="M424" s="53">
        <v>36</v>
      </c>
      <c r="N424" s="57">
        <f t="shared" si="57"/>
        <v>108.91666666666667</v>
      </c>
      <c r="O424" s="38">
        <f t="shared" ca="1" si="55"/>
        <v>47</v>
      </c>
      <c r="P424" s="36">
        <f t="shared" ca="1" si="56"/>
        <v>-1198.0833333333339</v>
      </c>
      <c r="Q424" s="36">
        <f t="shared" ca="1" si="54"/>
        <v>1</v>
      </c>
      <c r="R424" s="535" t="s">
        <v>2702</v>
      </c>
    </row>
    <row r="425" spans="2:18" s="4" customFormat="1" ht="55.5" customHeight="1" x14ac:dyDescent="0.25">
      <c r="B425" s="24">
        <v>44448</v>
      </c>
      <c r="C425" s="24" t="s">
        <v>2349</v>
      </c>
      <c r="D425" s="53" t="s">
        <v>3788</v>
      </c>
      <c r="E425" s="26" t="s">
        <v>3826</v>
      </c>
      <c r="F425" s="53" t="s">
        <v>3827</v>
      </c>
      <c r="G425" s="924">
        <v>5567</v>
      </c>
      <c r="H425" s="53" t="s">
        <v>3722</v>
      </c>
      <c r="I425" s="53" t="s">
        <v>19</v>
      </c>
      <c r="J425" s="53">
        <v>4437</v>
      </c>
      <c r="K425" s="53">
        <v>56.753500000000003</v>
      </c>
      <c r="L425" s="59">
        <f t="shared" si="51"/>
        <v>78.180200340067131</v>
      </c>
      <c r="M425" s="53">
        <v>36</v>
      </c>
      <c r="N425" s="57">
        <f t="shared" si="57"/>
        <v>123.25</v>
      </c>
      <c r="O425" s="38">
        <f t="shared" ca="1" si="55"/>
        <v>47</v>
      </c>
      <c r="P425" s="36">
        <f t="shared" ca="1" si="56"/>
        <v>-1355.75</v>
      </c>
      <c r="Q425" s="36">
        <f t="shared" ca="1" si="54"/>
        <v>1</v>
      </c>
      <c r="R425" s="535" t="s">
        <v>2702</v>
      </c>
    </row>
    <row r="426" spans="2:18" s="4" customFormat="1" ht="48.75" customHeight="1" x14ac:dyDescent="0.25">
      <c r="B426" s="24">
        <v>44448</v>
      </c>
      <c r="C426" s="24" t="s">
        <v>2349</v>
      </c>
      <c r="D426" s="53" t="s">
        <v>3788</v>
      </c>
      <c r="E426" s="26" t="s">
        <v>3828</v>
      </c>
      <c r="F426" s="53" t="s">
        <v>3827</v>
      </c>
      <c r="G426" s="924">
        <v>5567</v>
      </c>
      <c r="H426" s="53" t="s">
        <v>3722</v>
      </c>
      <c r="I426" s="53" t="s">
        <v>19</v>
      </c>
      <c r="J426" s="53">
        <v>4437</v>
      </c>
      <c r="K426" s="53">
        <v>56.753500000000003</v>
      </c>
      <c r="L426" s="59">
        <f t="shared" si="51"/>
        <v>78.180200340067131</v>
      </c>
      <c r="M426" s="53">
        <v>36</v>
      </c>
      <c r="N426" s="57">
        <f t="shared" si="57"/>
        <v>123.25</v>
      </c>
      <c r="O426" s="38">
        <f t="shared" ca="1" si="55"/>
        <v>47</v>
      </c>
      <c r="P426" s="36">
        <f t="shared" ca="1" si="56"/>
        <v>-1355.75</v>
      </c>
      <c r="Q426" s="36">
        <f t="shared" ca="1" si="54"/>
        <v>1</v>
      </c>
      <c r="R426" s="535" t="s">
        <v>2702</v>
      </c>
    </row>
    <row r="427" spans="2:18" s="4" customFormat="1" ht="54.75" customHeight="1" x14ac:dyDescent="0.25">
      <c r="B427" s="24">
        <v>44448</v>
      </c>
      <c r="C427" s="24" t="s">
        <v>2349</v>
      </c>
      <c r="D427" s="53" t="s">
        <v>3788</v>
      </c>
      <c r="E427" s="26" t="s">
        <v>3829</v>
      </c>
      <c r="F427" s="53" t="s">
        <v>3830</v>
      </c>
      <c r="G427" s="924">
        <v>5480</v>
      </c>
      <c r="H427" s="53" t="s">
        <v>3722</v>
      </c>
      <c r="I427" s="53" t="s">
        <v>19</v>
      </c>
      <c r="J427" s="53">
        <v>5468</v>
      </c>
      <c r="K427" s="53">
        <v>56.753500000000003</v>
      </c>
      <c r="L427" s="59">
        <f t="shared" si="51"/>
        <v>96.346480833781172</v>
      </c>
      <c r="M427" s="53">
        <v>36</v>
      </c>
      <c r="N427" s="57">
        <f t="shared" si="57"/>
        <v>151.88888888888889</v>
      </c>
      <c r="O427" s="38">
        <f t="shared" ca="1" si="55"/>
        <v>47</v>
      </c>
      <c r="P427" s="36">
        <f t="shared" ca="1" si="56"/>
        <v>-1670.7777777777774</v>
      </c>
      <c r="Q427" s="36">
        <f t="shared" ca="1" si="54"/>
        <v>1</v>
      </c>
      <c r="R427" s="535" t="s">
        <v>2702</v>
      </c>
    </row>
    <row r="428" spans="2:18" s="4" customFormat="1" ht="52.5" customHeight="1" x14ac:dyDescent="0.25">
      <c r="B428" s="24">
        <v>44448</v>
      </c>
      <c r="C428" s="24" t="s">
        <v>2349</v>
      </c>
      <c r="D428" s="53" t="s">
        <v>3788</v>
      </c>
      <c r="E428" s="26" t="s">
        <v>3831</v>
      </c>
      <c r="F428" s="53" t="s">
        <v>3832</v>
      </c>
      <c r="G428" s="924" t="s">
        <v>3833</v>
      </c>
      <c r="H428" s="53" t="s">
        <v>3722</v>
      </c>
      <c r="I428" s="53" t="s">
        <v>19</v>
      </c>
      <c r="J428" s="53">
        <v>3958.99</v>
      </c>
      <c r="K428" s="53">
        <v>56.753500000000003</v>
      </c>
      <c r="L428" s="59">
        <f t="shared" si="51"/>
        <v>69.75763609292818</v>
      </c>
      <c r="M428" s="53">
        <v>36</v>
      </c>
      <c r="N428" s="57">
        <f t="shared" si="57"/>
        <v>109.97194444444443</v>
      </c>
      <c r="O428" s="38">
        <f t="shared" ca="1" si="55"/>
        <v>47</v>
      </c>
      <c r="P428" s="36">
        <f t="shared" ca="1" si="56"/>
        <v>-1209.6913888888885</v>
      </c>
      <c r="Q428" s="36">
        <f t="shared" ca="1" si="54"/>
        <v>1</v>
      </c>
      <c r="R428" s="535" t="s">
        <v>2702</v>
      </c>
    </row>
    <row r="429" spans="2:18" s="4" customFormat="1" ht="59.25" customHeight="1" x14ac:dyDescent="0.25">
      <c r="B429" s="24">
        <v>44448</v>
      </c>
      <c r="C429" s="24" t="s">
        <v>2349</v>
      </c>
      <c r="D429" s="53" t="s">
        <v>3788</v>
      </c>
      <c r="E429" s="26" t="s">
        <v>4103</v>
      </c>
      <c r="F429" s="53" t="s">
        <v>3832</v>
      </c>
      <c r="G429" s="924" t="s">
        <v>3833</v>
      </c>
      <c r="H429" s="53" t="s">
        <v>3722</v>
      </c>
      <c r="I429" s="53" t="s">
        <v>19</v>
      </c>
      <c r="J429" s="53">
        <v>3958.99</v>
      </c>
      <c r="K429" s="53">
        <v>56.753500000000003</v>
      </c>
      <c r="L429" s="59">
        <f t="shared" si="51"/>
        <v>69.75763609292818</v>
      </c>
      <c r="M429" s="53">
        <v>36</v>
      </c>
      <c r="N429" s="57">
        <f t="shared" si="57"/>
        <v>109.97194444444443</v>
      </c>
      <c r="O429" s="38">
        <f t="shared" ca="1" si="55"/>
        <v>47</v>
      </c>
      <c r="P429" s="36">
        <f t="shared" ca="1" si="56"/>
        <v>-1209.6913888888885</v>
      </c>
      <c r="Q429" s="36">
        <f t="shared" ca="1" si="54"/>
        <v>1</v>
      </c>
      <c r="R429" s="535" t="s">
        <v>2702</v>
      </c>
    </row>
    <row r="430" spans="2:18" s="4" customFormat="1" ht="60.75" customHeight="1" x14ac:dyDescent="0.25">
      <c r="B430" s="24">
        <v>44448</v>
      </c>
      <c r="C430" s="24" t="s">
        <v>2349</v>
      </c>
      <c r="D430" s="53" t="s">
        <v>3788</v>
      </c>
      <c r="E430" s="26" t="s">
        <v>4104</v>
      </c>
      <c r="F430" s="53" t="s">
        <v>3832</v>
      </c>
      <c r="G430" s="924" t="s">
        <v>3833</v>
      </c>
      <c r="H430" s="53" t="s">
        <v>3722</v>
      </c>
      <c r="I430" s="53" t="s">
        <v>19</v>
      </c>
      <c r="J430" s="53">
        <v>3958.99</v>
      </c>
      <c r="K430" s="53">
        <v>56.753500000000003</v>
      </c>
      <c r="L430" s="59">
        <f t="shared" si="51"/>
        <v>69.75763609292818</v>
      </c>
      <c r="M430" s="53">
        <v>36</v>
      </c>
      <c r="N430" s="57">
        <f t="shared" si="57"/>
        <v>109.97194444444443</v>
      </c>
      <c r="O430" s="38">
        <f t="shared" ca="1" si="55"/>
        <v>47</v>
      </c>
      <c r="P430" s="36">
        <f t="shared" ca="1" si="56"/>
        <v>-1209.6913888888885</v>
      </c>
      <c r="Q430" s="36">
        <f t="shared" ca="1" si="54"/>
        <v>1</v>
      </c>
      <c r="R430" s="535" t="s">
        <v>2702</v>
      </c>
    </row>
    <row r="431" spans="2:18" s="4" customFormat="1" ht="60.75" customHeight="1" x14ac:dyDescent="0.25">
      <c r="B431" s="24">
        <v>44448</v>
      </c>
      <c r="C431" s="24" t="s">
        <v>2349</v>
      </c>
      <c r="D431" s="53" t="s">
        <v>3788</v>
      </c>
      <c r="E431" s="26" t="s">
        <v>4105</v>
      </c>
      <c r="F431" s="53" t="s">
        <v>3832</v>
      </c>
      <c r="G431" s="924" t="s">
        <v>3833</v>
      </c>
      <c r="H431" s="53" t="s">
        <v>3722</v>
      </c>
      <c r="I431" s="53" t="s">
        <v>19</v>
      </c>
      <c r="J431" s="53">
        <v>3958.99</v>
      </c>
      <c r="K431" s="53">
        <v>56.753500000000003</v>
      </c>
      <c r="L431" s="59">
        <f t="shared" si="51"/>
        <v>69.75763609292818</v>
      </c>
      <c r="M431" s="53">
        <v>36</v>
      </c>
      <c r="N431" s="57">
        <f t="shared" si="57"/>
        <v>109.97194444444443</v>
      </c>
      <c r="O431" s="38">
        <f t="shared" ca="1" si="55"/>
        <v>47</v>
      </c>
      <c r="P431" s="36">
        <f t="shared" ca="1" si="56"/>
        <v>-1209.6913888888885</v>
      </c>
      <c r="Q431" s="36">
        <f t="shared" ca="1" si="54"/>
        <v>1</v>
      </c>
      <c r="R431" s="535" t="s">
        <v>2702</v>
      </c>
    </row>
    <row r="432" spans="2:18" s="4" customFormat="1" ht="50.25" customHeight="1" x14ac:dyDescent="0.25">
      <c r="B432" s="24">
        <v>44448</v>
      </c>
      <c r="C432" s="24" t="s">
        <v>2349</v>
      </c>
      <c r="D432" s="53" t="s">
        <v>3788</v>
      </c>
      <c r="E432" s="26" t="s">
        <v>4106</v>
      </c>
      <c r="F432" s="53" t="s">
        <v>3832</v>
      </c>
      <c r="G432" s="924" t="s">
        <v>3833</v>
      </c>
      <c r="H432" s="53" t="s">
        <v>3722</v>
      </c>
      <c r="I432" s="53" t="s">
        <v>19</v>
      </c>
      <c r="J432" s="53">
        <v>3958.99</v>
      </c>
      <c r="K432" s="53">
        <v>56.753500000000003</v>
      </c>
      <c r="L432" s="59">
        <f t="shared" si="51"/>
        <v>69.75763609292818</v>
      </c>
      <c r="M432" s="53">
        <v>36</v>
      </c>
      <c r="N432" s="57">
        <f t="shared" si="57"/>
        <v>109.97194444444443</v>
      </c>
      <c r="O432" s="38">
        <f t="shared" ca="1" si="55"/>
        <v>47</v>
      </c>
      <c r="P432" s="36">
        <f t="shared" ca="1" si="56"/>
        <v>-1209.6913888888885</v>
      </c>
      <c r="Q432" s="36">
        <f t="shared" ca="1" si="54"/>
        <v>1</v>
      </c>
      <c r="R432" s="535" t="s">
        <v>2702</v>
      </c>
    </row>
    <row r="433" spans="2:18" s="4" customFormat="1" ht="55.5" customHeight="1" x14ac:dyDescent="0.25">
      <c r="B433" s="24">
        <v>44448</v>
      </c>
      <c r="C433" s="24" t="s">
        <v>2349</v>
      </c>
      <c r="D433" s="53" t="s">
        <v>3788</v>
      </c>
      <c r="E433" s="26" t="s">
        <v>4107</v>
      </c>
      <c r="F433" s="53" t="s">
        <v>3832</v>
      </c>
      <c r="G433" s="924" t="s">
        <v>3833</v>
      </c>
      <c r="H433" s="53" t="s">
        <v>3722</v>
      </c>
      <c r="I433" s="53" t="s">
        <v>19</v>
      </c>
      <c r="J433" s="53">
        <v>3958.99</v>
      </c>
      <c r="K433" s="53">
        <v>56.753500000000003</v>
      </c>
      <c r="L433" s="59">
        <f t="shared" si="51"/>
        <v>69.75763609292818</v>
      </c>
      <c r="M433" s="53">
        <v>36</v>
      </c>
      <c r="N433" s="57">
        <f t="shared" si="57"/>
        <v>109.97194444444443</v>
      </c>
      <c r="O433" s="38">
        <f t="shared" ca="1" si="55"/>
        <v>47</v>
      </c>
      <c r="P433" s="36">
        <f t="shared" ca="1" si="56"/>
        <v>-1209.6913888888885</v>
      </c>
      <c r="Q433" s="36">
        <f t="shared" ca="1" si="54"/>
        <v>1</v>
      </c>
      <c r="R433" s="535" t="s">
        <v>2702</v>
      </c>
    </row>
    <row r="434" spans="2:18" s="4" customFormat="1" ht="36" customHeight="1" x14ac:dyDescent="0.25">
      <c r="B434" s="24">
        <v>44448</v>
      </c>
      <c r="C434" s="24" t="s">
        <v>2349</v>
      </c>
      <c r="D434" s="53" t="s">
        <v>3788</v>
      </c>
      <c r="E434" s="26" t="s">
        <v>4108</v>
      </c>
      <c r="F434" s="53" t="s">
        <v>3834</v>
      </c>
      <c r="G434" s="924" t="s">
        <v>3835</v>
      </c>
      <c r="H434" s="53" t="s">
        <v>3722</v>
      </c>
      <c r="I434" s="53" t="s">
        <v>19</v>
      </c>
      <c r="J434" s="53">
        <v>986.87</v>
      </c>
      <c r="K434" s="53">
        <v>56.753500000000003</v>
      </c>
      <c r="L434" s="59">
        <f t="shared" si="51"/>
        <v>17.388707304395322</v>
      </c>
      <c r="M434" s="53">
        <v>36</v>
      </c>
      <c r="N434" s="57">
        <f t="shared" si="57"/>
        <v>27.413055555555555</v>
      </c>
      <c r="O434" s="38">
        <f t="shared" ca="1" si="55"/>
        <v>47</v>
      </c>
      <c r="P434" s="36">
        <f t="shared" ca="1" si="56"/>
        <v>-301.54361111111109</v>
      </c>
      <c r="Q434" s="36">
        <f t="shared" ca="1" si="54"/>
        <v>1</v>
      </c>
      <c r="R434" s="535" t="s">
        <v>2702</v>
      </c>
    </row>
    <row r="435" spans="2:18" s="4" customFormat="1" ht="36" customHeight="1" x14ac:dyDescent="0.25">
      <c r="B435" s="24">
        <v>44448</v>
      </c>
      <c r="C435" s="24" t="s">
        <v>2349</v>
      </c>
      <c r="D435" s="53" t="s">
        <v>3788</v>
      </c>
      <c r="E435" s="26" t="s">
        <v>4109</v>
      </c>
      <c r="F435" s="53" t="s">
        <v>3834</v>
      </c>
      <c r="G435" s="924" t="s">
        <v>3835</v>
      </c>
      <c r="H435" s="53" t="s">
        <v>3722</v>
      </c>
      <c r="I435" s="53" t="s">
        <v>19</v>
      </c>
      <c r="J435" s="53">
        <v>986.87</v>
      </c>
      <c r="K435" s="53">
        <v>56.753500000000003</v>
      </c>
      <c r="L435" s="59">
        <f t="shared" si="51"/>
        <v>17.388707304395322</v>
      </c>
      <c r="M435" s="53">
        <v>36</v>
      </c>
      <c r="N435" s="57">
        <f t="shared" si="57"/>
        <v>27.413055555555555</v>
      </c>
      <c r="O435" s="38">
        <f t="shared" ca="1" si="55"/>
        <v>47</v>
      </c>
      <c r="P435" s="36">
        <f t="shared" ca="1" si="56"/>
        <v>-301.54361111111109</v>
      </c>
      <c r="Q435" s="36">
        <f t="shared" ca="1" si="54"/>
        <v>1</v>
      </c>
      <c r="R435" s="535" t="s">
        <v>2702</v>
      </c>
    </row>
    <row r="436" spans="2:18" s="4" customFormat="1" ht="36" customHeight="1" x14ac:dyDescent="0.25">
      <c r="B436" s="24">
        <v>44448</v>
      </c>
      <c r="C436" s="24" t="s">
        <v>2349</v>
      </c>
      <c r="D436" s="53" t="s">
        <v>3788</v>
      </c>
      <c r="E436" s="26" t="s">
        <v>4110</v>
      </c>
      <c r="F436" s="53" t="s">
        <v>3834</v>
      </c>
      <c r="G436" s="924" t="s">
        <v>3835</v>
      </c>
      <c r="H436" s="53" t="s">
        <v>3722</v>
      </c>
      <c r="I436" s="53" t="s">
        <v>19</v>
      </c>
      <c r="J436" s="53">
        <v>986.87</v>
      </c>
      <c r="K436" s="53">
        <v>56.753500000000003</v>
      </c>
      <c r="L436" s="59">
        <f t="shared" si="51"/>
        <v>17.388707304395322</v>
      </c>
      <c r="M436" s="53">
        <v>36</v>
      </c>
      <c r="N436" s="57">
        <f t="shared" si="57"/>
        <v>27.413055555555555</v>
      </c>
      <c r="O436" s="38">
        <f t="shared" ca="1" si="55"/>
        <v>47</v>
      </c>
      <c r="P436" s="36">
        <f t="shared" ca="1" si="56"/>
        <v>-301.54361111111109</v>
      </c>
      <c r="Q436" s="36">
        <f t="shared" ca="1" si="54"/>
        <v>1</v>
      </c>
      <c r="R436" s="535" t="s">
        <v>2702</v>
      </c>
    </row>
    <row r="437" spans="2:18" s="4" customFormat="1" ht="36" customHeight="1" x14ac:dyDescent="0.25">
      <c r="B437" s="24">
        <v>44448</v>
      </c>
      <c r="C437" s="24" t="s">
        <v>2349</v>
      </c>
      <c r="D437" s="53" t="s">
        <v>3788</v>
      </c>
      <c r="E437" s="26" t="s">
        <v>4111</v>
      </c>
      <c r="F437" s="53" t="s">
        <v>3834</v>
      </c>
      <c r="G437" s="924" t="s">
        <v>3835</v>
      </c>
      <c r="H437" s="53" t="s">
        <v>3722</v>
      </c>
      <c r="I437" s="53" t="s">
        <v>19</v>
      </c>
      <c r="J437" s="53">
        <v>986.87</v>
      </c>
      <c r="K437" s="53">
        <v>56.753500000000003</v>
      </c>
      <c r="L437" s="59">
        <f t="shared" si="51"/>
        <v>17.388707304395322</v>
      </c>
      <c r="M437" s="53">
        <v>36</v>
      </c>
      <c r="N437" s="57">
        <f t="shared" si="57"/>
        <v>27.413055555555555</v>
      </c>
      <c r="O437" s="38">
        <f t="shared" ca="1" si="55"/>
        <v>47</v>
      </c>
      <c r="P437" s="36">
        <f t="shared" ca="1" si="56"/>
        <v>-301.54361111111109</v>
      </c>
      <c r="Q437" s="36">
        <f t="shared" ca="1" si="54"/>
        <v>1</v>
      </c>
      <c r="R437" s="535" t="s">
        <v>2702</v>
      </c>
    </row>
    <row r="438" spans="2:18" s="4" customFormat="1" ht="36" customHeight="1" x14ac:dyDescent="0.25">
      <c r="B438" s="24">
        <v>44448</v>
      </c>
      <c r="C438" s="24" t="s">
        <v>2349</v>
      </c>
      <c r="D438" s="53" t="s">
        <v>3788</v>
      </c>
      <c r="E438" s="26" t="s">
        <v>4112</v>
      </c>
      <c r="F438" s="53" t="s">
        <v>3834</v>
      </c>
      <c r="G438" s="924" t="s">
        <v>3835</v>
      </c>
      <c r="H438" s="53" t="s">
        <v>3722</v>
      </c>
      <c r="I438" s="53" t="s">
        <v>19</v>
      </c>
      <c r="J438" s="53">
        <v>986.87</v>
      </c>
      <c r="K438" s="53">
        <v>56.753500000000003</v>
      </c>
      <c r="L438" s="59">
        <f t="shared" si="51"/>
        <v>17.388707304395322</v>
      </c>
      <c r="M438" s="53">
        <v>36</v>
      </c>
      <c r="N438" s="57">
        <f t="shared" si="57"/>
        <v>27.413055555555555</v>
      </c>
      <c r="O438" s="38">
        <f t="shared" ca="1" si="55"/>
        <v>47</v>
      </c>
      <c r="P438" s="36">
        <f t="shared" ca="1" si="56"/>
        <v>-301.54361111111109</v>
      </c>
      <c r="Q438" s="36">
        <f t="shared" ca="1" si="54"/>
        <v>1</v>
      </c>
      <c r="R438" s="535" t="s">
        <v>2702</v>
      </c>
    </row>
    <row r="439" spans="2:18" s="4" customFormat="1" ht="36" customHeight="1" x14ac:dyDescent="0.25">
      <c r="B439" s="24">
        <v>44448</v>
      </c>
      <c r="C439" s="24" t="s">
        <v>2349</v>
      </c>
      <c r="D439" s="53" t="s">
        <v>3788</v>
      </c>
      <c r="E439" s="26" t="s">
        <v>4113</v>
      </c>
      <c r="F439" s="53" t="s">
        <v>3834</v>
      </c>
      <c r="G439" s="924" t="s">
        <v>3835</v>
      </c>
      <c r="H439" s="53" t="s">
        <v>3722</v>
      </c>
      <c r="I439" s="53" t="s">
        <v>19</v>
      </c>
      <c r="J439" s="53">
        <v>986.87</v>
      </c>
      <c r="K439" s="53">
        <v>56.753500000000003</v>
      </c>
      <c r="L439" s="59">
        <f t="shared" si="51"/>
        <v>17.388707304395322</v>
      </c>
      <c r="M439" s="53">
        <v>36</v>
      </c>
      <c r="N439" s="57">
        <f t="shared" si="57"/>
        <v>27.413055555555555</v>
      </c>
      <c r="O439" s="38">
        <f t="shared" ca="1" si="55"/>
        <v>47</v>
      </c>
      <c r="P439" s="36">
        <f t="shared" ca="1" si="56"/>
        <v>-301.54361111111109</v>
      </c>
      <c r="Q439" s="36">
        <f t="shared" ca="1" si="54"/>
        <v>1</v>
      </c>
      <c r="R439" s="535" t="s">
        <v>2702</v>
      </c>
    </row>
    <row r="440" spans="2:18" s="4" customFormat="1" ht="36" customHeight="1" x14ac:dyDescent="0.25">
      <c r="B440" s="24">
        <v>44448</v>
      </c>
      <c r="C440" s="24" t="s">
        <v>2349</v>
      </c>
      <c r="D440" s="53" t="s">
        <v>3788</v>
      </c>
      <c r="E440" s="26" t="s">
        <v>4114</v>
      </c>
      <c r="F440" s="53" t="s">
        <v>3834</v>
      </c>
      <c r="G440" s="924" t="s">
        <v>3836</v>
      </c>
      <c r="H440" s="53" t="s">
        <v>3722</v>
      </c>
      <c r="I440" s="53" t="s">
        <v>19</v>
      </c>
      <c r="J440" s="53">
        <v>986.87</v>
      </c>
      <c r="K440" s="53">
        <v>56.753500000000003</v>
      </c>
      <c r="L440" s="59">
        <f t="shared" si="51"/>
        <v>17.388707304395322</v>
      </c>
      <c r="M440" s="53">
        <v>36</v>
      </c>
      <c r="N440" s="57">
        <f t="shared" si="57"/>
        <v>27.413055555555555</v>
      </c>
      <c r="O440" s="38">
        <f t="shared" ca="1" si="55"/>
        <v>47</v>
      </c>
      <c r="P440" s="36">
        <f t="shared" ca="1" si="56"/>
        <v>-301.54361111111109</v>
      </c>
      <c r="Q440" s="36">
        <f t="shared" ca="1" si="54"/>
        <v>1</v>
      </c>
      <c r="R440" s="535" t="s">
        <v>2702</v>
      </c>
    </row>
    <row r="441" spans="2:18" s="4" customFormat="1" ht="36" customHeight="1" x14ac:dyDescent="0.25">
      <c r="B441" s="24">
        <v>44448</v>
      </c>
      <c r="C441" s="24" t="s">
        <v>2349</v>
      </c>
      <c r="D441" s="53" t="s">
        <v>3788</v>
      </c>
      <c r="E441" s="26" t="s">
        <v>4115</v>
      </c>
      <c r="F441" s="53" t="s">
        <v>3834</v>
      </c>
      <c r="G441" s="924" t="s">
        <v>3837</v>
      </c>
      <c r="H441" s="53" t="s">
        <v>3722</v>
      </c>
      <c r="I441" s="53" t="s">
        <v>19</v>
      </c>
      <c r="J441" s="53">
        <v>986.87</v>
      </c>
      <c r="K441" s="53">
        <v>56.753500000000003</v>
      </c>
      <c r="L441" s="59">
        <f t="shared" si="51"/>
        <v>17.388707304395322</v>
      </c>
      <c r="M441" s="53">
        <v>36</v>
      </c>
      <c r="N441" s="57">
        <f t="shared" si="57"/>
        <v>27.413055555555555</v>
      </c>
      <c r="O441" s="38">
        <f t="shared" ca="1" si="55"/>
        <v>47</v>
      </c>
      <c r="P441" s="36">
        <f t="shared" ca="1" si="56"/>
        <v>-301.54361111111109</v>
      </c>
      <c r="Q441" s="36">
        <f t="shared" ca="1" si="54"/>
        <v>1</v>
      </c>
      <c r="R441" s="535" t="s">
        <v>2702</v>
      </c>
    </row>
    <row r="442" spans="2:18" s="4" customFormat="1" ht="36" customHeight="1" x14ac:dyDescent="0.25">
      <c r="B442" s="24">
        <v>44448</v>
      </c>
      <c r="C442" s="24" t="s">
        <v>2349</v>
      </c>
      <c r="D442" s="53" t="s">
        <v>3788</v>
      </c>
      <c r="E442" s="26" t="s">
        <v>4116</v>
      </c>
      <c r="F442" s="53" t="s">
        <v>3834</v>
      </c>
      <c r="G442" s="924" t="s">
        <v>3838</v>
      </c>
      <c r="H442" s="53" t="s">
        <v>3722</v>
      </c>
      <c r="I442" s="53" t="s">
        <v>19</v>
      </c>
      <c r="J442" s="53">
        <v>986.87</v>
      </c>
      <c r="K442" s="53">
        <v>56.753500000000003</v>
      </c>
      <c r="L442" s="59">
        <f t="shared" si="51"/>
        <v>17.388707304395322</v>
      </c>
      <c r="M442" s="53">
        <v>36</v>
      </c>
      <c r="N442" s="57">
        <f t="shared" si="57"/>
        <v>27.413055555555555</v>
      </c>
      <c r="O442" s="38">
        <f t="shared" ca="1" si="55"/>
        <v>47</v>
      </c>
      <c r="P442" s="36">
        <f t="shared" ca="1" si="56"/>
        <v>-301.54361111111109</v>
      </c>
      <c r="Q442" s="36">
        <f t="shared" ref="Q442:Q505" ca="1" si="58">IF(P442&lt;1,1,P442)</f>
        <v>1</v>
      </c>
      <c r="R442" s="535" t="s">
        <v>2702</v>
      </c>
    </row>
    <row r="443" spans="2:18" s="4" customFormat="1" ht="36" customHeight="1" x14ac:dyDescent="0.25">
      <c r="B443" s="24">
        <v>44448</v>
      </c>
      <c r="C443" s="24" t="s">
        <v>2349</v>
      </c>
      <c r="D443" s="53" t="s">
        <v>3788</v>
      </c>
      <c r="E443" s="26" t="s">
        <v>4117</v>
      </c>
      <c r="F443" s="53" t="s">
        <v>3834</v>
      </c>
      <c r="G443" s="924" t="s">
        <v>3839</v>
      </c>
      <c r="H443" s="53" t="s">
        <v>3722</v>
      </c>
      <c r="I443" s="53" t="s">
        <v>19</v>
      </c>
      <c r="J443" s="53">
        <v>986.87</v>
      </c>
      <c r="K443" s="53">
        <v>56.753500000000003</v>
      </c>
      <c r="L443" s="59">
        <f t="shared" si="51"/>
        <v>17.388707304395322</v>
      </c>
      <c r="M443" s="53">
        <v>36</v>
      </c>
      <c r="N443" s="57">
        <f t="shared" si="57"/>
        <v>27.413055555555555</v>
      </c>
      <c r="O443" s="38">
        <f t="shared" ca="1" si="55"/>
        <v>47</v>
      </c>
      <c r="P443" s="36">
        <f t="shared" ca="1" si="56"/>
        <v>-301.54361111111109</v>
      </c>
      <c r="Q443" s="36">
        <f t="shared" ca="1" si="58"/>
        <v>1</v>
      </c>
      <c r="R443" s="535" t="s">
        <v>2702</v>
      </c>
    </row>
    <row r="444" spans="2:18" s="4" customFormat="1" ht="39.950000000000003" customHeight="1" x14ac:dyDescent="0.25">
      <c r="B444" s="24">
        <v>44448</v>
      </c>
      <c r="C444" s="24" t="s">
        <v>2349</v>
      </c>
      <c r="D444" s="53" t="s">
        <v>3788</v>
      </c>
      <c r="E444" s="26" t="s">
        <v>4118</v>
      </c>
      <c r="F444" s="53" t="s">
        <v>3841</v>
      </c>
      <c r="G444" s="56" t="s">
        <v>3842</v>
      </c>
      <c r="H444" s="53" t="s">
        <v>3722</v>
      </c>
      <c r="I444" s="53" t="s">
        <v>19</v>
      </c>
      <c r="J444" s="53">
        <v>4383</v>
      </c>
      <c r="K444" s="53">
        <v>56.753500000000003</v>
      </c>
      <c r="L444" s="59">
        <f t="shared" si="51"/>
        <v>77.228717171628176</v>
      </c>
      <c r="M444" s="53">
        <v>36</v>
      </c>
      <c r="N444" s="57">
        <f t="shared" si="57"/>
        <v>121.75</v>
      </c>
      <c r="O444" s="38">
        <f t="shared" ca="1" si="55"/>
        <v>47</v>
      </c>
      <c r="P444" s="36">
        <f t="shared" ca="1" si="56"/>
        <v>-1339.25</v>
      </c>
      <c r="Q444" s="36">
        <f t="shared" ca="1" si="58"/>
        <v>1</v>
      </c>
      <c r="R444" s="535" t="s">
        <v>2702</v>
      </c>
    </row>
    <row r="445" spans="2:18" s="4" customFormat="1" ht="57" customHeight="1" x14ac:dyDescent="0.25">
      <c r="B445" s="24">
        <v>44448</v>
      </c>
      <c r="C445" s="24" t="s">
        <v>2349</v>
      </c>
      <c r="D445" s="53" t="s">
        <v>3788</v>
      </c>
      <c r="E445" s="26" t="s">
        <v>4119</v>
      </c>
      <c r="F445" s="53" t="s">
        <v>3841</v>
      </c>
      <c r="G445" s="56" t="s">
        <v>3842</v>
      </c>
      <c r="H445" s="53" t="s">
        <v>3722</v>
      </c>
      <c r="I445" s="53" t="s">
        <v>19</v>
      </c>
      <c r="J445" s="53">
        <v>4383</v>
      </c>
      <c r="K445" s="53">
        <v>56.753500000000003</v>
      </c>
      <c r="L445" s="59">
        <f t="shared" si="51"/>
        <v>77.228717171628176</v>
      </c>
      <c r="M445" s="53">
        <v>36</v>
      </c>
      <c r="N445" s="57">
        <f t="shared" si="57"/>
        <v>121.75</v>
      </c>
      <c r="O445" s="38">
        <f t="shared" ca="1" si="55"/>
        <v>47</v>
      </c>
      <c r="P445" s="36">
        <f t="shared" ca="1" si="56"/>
        <v>-1339.25</v>
      </c>
      <c r="Q445" s="36">
        <f t="shared" ca="1" si="58"/>
        <v>1</v>
      </c>
      <c r="R445" s="535" t="s">
        <v>2702</v>
      </c>
    </row>
    <row r="446" spans="2:18" s="4" customFormat="1" ht="48" customHeight="1" x14ac:dyDescent="0.25">
      <c r="B446" s="24">
        <v>44448</v>
      </c>
      <c r="C446" s="24" t="s">
        <v>2349</v>
      </c>
      <c r="D446" s="53" t="s">
        <v>3788</v>
      </c>
      <c r="E446" s="26" t="s">
        <v>4120</v>
      </c>
      <c r="F446" s="53" t="s">
        <v>3841</v>
      </c>
      <c r="G446" s="56" t="s">
        <v>3842</v>
      </c>
      <c r="H446" s="53" t="s">
        <v>3722</v>
      </c>
      <c r="I446" s="53" t="s">
        <v>19</v>
      </c>
      <c r="J446" s="53">
        <v>4383</v>
      </c>
      <c r="K446" s="53">
        <v>56.753500000000003</v>
      </c>
      <c r="L446" s="59">
        <f t="shared" si="51"/>
        <v>77.228717171628176</v>
      </c>
      <c r="M446" s="53">
        <v>36</v>
      </c>
      <c r="N446" s="57">
        <f t="shared" si="57"/>
        <v>121.75</v>
      </c>
      <c r="O446" s="38">
        <f t="shared" ca="1" si="55"/>
        <v>47</v>
      </c>
      <c r="P446" s="36">
        <f t="shared" ca="1" si="56"/>
        <v>-1339.25</v>
      </c>
      <c r="Q446" s="36">
        <f t="shared" ca="1" si="58"/>
        <v>1</v>
      </c>
      <c r="R446" s="535" t="s">
        <v>2702</v>
      </c>
    </row>
    <row r="447" spans="2:18" s="4" customFormat="1" ht="47.25" customHeight="1" x14ac:dyDescent="0.25">
      <c r="B447" s="24">
        <v>44448</v>
      </c>
      <c r="C447" s="24" t="s">
        <v>2349</v>
      </c>
      <c r="D447" s="53" t="s">
        <v>3788</v>
      </c>
      <c r="E447" s="26" t="s">
        <v>4121</v>
      </c>
      <c r="F447" s="53" t="s">
        <v>3841</v>
      </c>
      <c r="G447" s="56" t="s">
        <v>3842</v>
      </c>
      <c r="H447" s="53" t="s">
        <v>3722</v>
      </c>
      <c r="I447" s="53" t="s">
        <v>19</v>
      </c>
      <c r="J447" s="53">
        <v>4383</v>
      </c>
      <c r="K447" s="53">
        <v>56.753500000000003</v>
      </c>
      <c r="L447" s="59">
        <f t="shared" si="51"/>
        <v>77.228717171628176</v>
      </c>
      <c r="M447" s="53">
        <v>36</v>
      </c>
      <c r="N447" s="57">
        <f t="shared" si="57"/>
        <v>121.75</v>
      </c>
      <c r="O447" s="38">
        <f t="shared" ca="1" si="55"/>
        <v>47</v>
      </c>
      <c r="P447" s="36">
        <f t="shared" ca="1" si="56"/>
        <v>-1339.25</v>
      </c>
      <c r="Q447" s="36">
        <f t="shared" ca="1" si="58"/>
        <v>1</v>
      </c>
      <c r="R447" s="535" t="s">
        <v>2702</v>
      </c>
    </row>
    <row r="448" spans="2:18" s="4" customFormat="1" ht="51" customHeight="1" x14ac:dyDescent="0.25">
      <c r="B448" s="24">
        <v>44448</v>
      </c>
      <c r="C448" s="24" t="s">
        <v>2349</v>
      </c>
      <c r="D448" s="53" t="s">
        <v>3788</v>
      </c>
      <c r="E448" s="26" t="s">
        <v>4122</v>
      </c>
      <c r="F448" s="53" t="s">
        <v>3841</v>
      </c>
      <c r="G448" s="56" t="s">
        <v>3842</v>
      </c>
      <c r="H448" s="53" t="s">
        <v>3722</v>
      </c>
      <c r="I448" s="53" t="s">
        <v>19</v>
      </c>
      <c r="J448" s="53">
        <v>4383</v>
      </c>
      <c r="K448" s="53">
        <v>56.753500000000003</v>
      </c>
      <c r="L448" s="59">
        <f t="shared" si="51"/>
        <v>77.228717171628176</v>
      </c>
      <c r="M448" s="53">
        <v>36</v>
      </c>
      <c r="N448" s="57">
        <f t="shared" si="57"/>
        <v>121.75</v>
      </c>
      <c r="O448" s="38">
        <f t="shared" ca="1" si="55"/>
        <v>47</v>
      </c>
      <c r="P448" s="36">
        <f t="shared" ca="1" si="56"/>
        <v>-1339.25</v>
      </c>
      <c r="Q448" s="36">
        <f t="shared" ca="1" si="58"/>
        <v>1</v>
      </c>
      <c r="R448" s="535" t="s">
        <v>2702</v>
      </c>
    </row>
    <row r="449" spans="2:18" s="4" customFormat="1" ht="46.5" customHeight="1" x14ac:dyDescent="0.25">
      <c r="B449" s="24">
        <v>44448</v>
      </c>
      <c r="C449" s="24" t="s">
        <v>2349</v>
      </c>
      <c r="D449" s="53" t="s">
        <v>3788</v>
      </c>
      <c r="E449" s="26" t="s">
        <v>4123</v>
      </c>
      <c r="F449" s="53" t="s">
        <v>3841</v>
      </c>
      <c r="G449" s="56" t="s">
        <v>3842</v>
      </c>
      <c r="H449" s="53" t="s">
        <v>3722</v>
      </c>
      <c r="I449" s="53" t="s">
        <v>19</v>
      </c>
      <c r="J449" s="53">
        <v>4383</v>
      </c>
      <c r="K449" s="53">
        <v>56.753500000000003</v>
      </c>
      <c r="L449" s="59">
        <f t="shared" si="51"/>
        <v>77.228717171628176</v>
      </c>
      <c r="M449" s="53">
        <v>36</v>
      </c>
      <c r="N449" s="57">
        <f t="shared" si="57"/>
        <v>121.75</v>
      </c>
      <c r="O449" s="38">
        <f t="shared" ref="O449:O512" ca="1" si="59">IF(B449&lt;&gt;0,(ROUND((NOW()-B449)/30,0)),0)</f>
        <v>47</v>
      </c>
      <c r="P449" s="36">
        <f t="shared" ca="1" si="56"/>
        <v>-1339.25</v>
      </c>
      <c r="Q449" s="36">
        <f t="shared" ca="1" si="58"/>
        <v>1</v>
      </c>
      <c r="R449" s="535" t="s">
        <v>2702</v>
      </c>
    </row>
    <row r="450" spans="2:18" s="4" customFormat="1" ht="53.25" customHeight="1" x14ac:dyDescent="0.25">
      <c r="B450" s="24">
        <v>44448</v>
      </c>
      <c r="C450" s="24" t="s">
        <v>2349</v>
      </c>
      <c r="D450" s="53" t="s">
        <v>3788</v>
      </c>
      <c r="E450" s="26" t="s">
        <v>4124</v>
      </c>
      <c r="F450" s="53" t="s">
        <v>3841</v>
      </c>
      <c r="G450" s="56" t="s">
        <v>3842</v>
      </c>
      <c r="H450" s="53" t="s">
        <v>3722</v>
      </c>
      <c r="I450" s="53" t="s">
        <v>19</v>
      </c>
      <c r="J450" s="53">
        <v>4383</v>
      </c>
      <c r="K450" s="53">
        <v>56.753500000000003</v>
      </c>
      <c r="L450" s="59">
        <f t="shared" si="51"/>
        <v>77.228717171628176</v>
      </c>
      <c r="M450" s="53">
        <v>36</v>
      </c>
      <c r="N450" s="57">
        <f t="shared" si="57"/>
        <v>121.75</v>
      </c>
      <c r="O450" s="38">
        <f t="shared" ca="1" si="59"/>
        <v>47</v>
      </c>
      <c r="P450" s="36">
        <f t="shared" ca="1" si="56"/>
        <v>-1339.25</v>
      </c>
      <c r="Q450" s="36">
        <f t="shared" ca="1" si="58"/>
        <v>1</v>
      </c>
      <c r="R450" s="535" t="s">
        <v>2702</v>
      </c>
    </row>
    <row r="451" spans="2:18" s="4" customFormat="1" ht="38.25" x14ac:dyDescent="0.25">
      <c r="B451" s="24">
        <v>44448</v>
      </c>
      <c r="C451" s="24" t="s">
        <v>2349</v>
      </c>
      <c r="D451" s="53" t="s">
        <v>3788</v>
      </c>
      <c r="E451" s="26" t="s">
        <v>4125</v>
      </c>
      <c r="F451" s="53" t="s">
        <v>3841</v>
      </c>
      <c r="G451" s="56" t="s">
        <v>3842</v>
      </c>
      <c r="H451" s="53" t="s">
        <v>3722</v>
      </c>
      <c r="I451" s="53" t="s">
        <v>19</v>
      </c>
      <c r="J451" s="53">
        <v>4383</v>
      </c>
      <c r="K451" s="53">
        <v>56.753500000000003</v>
      </c>
      <c r="L451" s="59">
        <f t="shared" si="51"/>
        <v>77.228717171628176</v>
      </c>
      <c r="M451" s="53">
        <v>36</v>
      </c>
      <c r="N451" s="57">
        <f t="shared" si="57"/>
        <v>121.75</v>
      </c>
      <c r="O451" s="38">
        <f t="shared" ca="1" si="59"/>
        <v>47</v>
      </c>
      <c r="P451" s="36">
        <f t="shared" ca="1" si="56"/>
        <v>-1339.25</v>
      </c>
      <c r="Q451" s="36">
        <f t="shared" ca="1" si="58"/>
        <v>1</v>
      </c>
      <c r="R451" s="535" t="s">
        <v>2702</v>
      </c>
    </row>
    <row r="452" spans="2:18" s="4" customFormat="1" ht="38.25" x14ac:dyDescent="0.25">
      <c r="B452" s="24">
        <v>44448</v>
      </c>
      <c r="C452" s="24" t="s">
        <v>2349</v>
      </c>
      <c r="D452" s="53" t="s">
        <v>3788</v>
      </c>
      <c r="E452" s="26" t="s">
        <v>4126</v>
      </c>
      <c r="F452" s="53" t="s">
        <v>3841</v>
      </c>
      <c r="G452" s="56" t="s">
        <v>3842</v>
      </c>
      <c r="H452" s="53" t="s">
        <v>3722</v>
      </c>
      <c r="I452" s="53" t="s">
        <v>19</v>
      </c>
      <c r="J452" s="53">
        <v>4383</v>
      </c>
      <c r="K452" s="53">
        <v>56.753500000000003</v>
      </c>
      <c r="L452" s="59">
        <f t="shared" si="51"/>
        <v>77.228717171628176</v>
      </c>
      <c r="M452" s="53">
        <v>36</v>
      </c>
      <c r="N452" s="57">
        <f t="shared" si="57"/>
        <v>121.75</v>
      </c>
      <c r="O452" s="38">
        <f t="shared" ca="1" si="59"/>
        <v>47</v>
      </c>
      <c r="P452" s="36">
        <f t="shared" ca="1" si="56"/>
        <v>-1339.25</v>
      </c>
      <c r="Q452" s="36">
        <f t="shared" ca="1" si="58"/>
        <v>1</v>
      </c>
      <c r="R452" s="535" t="s">
        <v>2702</v>
      </c>
    </row>
    <row r="453" spans="2:18" s="4" customFormat="1" ht="55.5" customHeight="1" x14ac:dyDescent="0.25">
      <c r="B453" s="24">
        <v>44448</v>
      </c>
      <c r="C453" s="24" t="s">
        <v>2349</v>
      </c>
      <c r="D453" s="53" t="s">
        <v>3788</v>
      </c>
      <c r="E453" s="26" t="s">
        <v>4127</v>
      </c>
      <c r="F453" s="53" t="s">
        <v>3841</v>
      </c>
      <c r="G453" s="56" t="s">
        <v>3842</v>
      </c>
      <c r="H453" s="53" t="s">
        <v>3722</v>
      </c>
      <c r="I453" s="53" t="s">
        <v>19</v>
      </c>
      <c r="J453" s="53">
        <v>4383</v>
      </c>
      <c r="K453" s="53">
        <v>56.753500000000003</v>
      </c>
      <c r="L453" s="59">
        <f t="shared" si="51"/>
        <v>77.228717171628176</v>
      </c>
      <c r="M453" s="53">
        <v>36</v>
      </c>
      <c r="N453" s="57">
        <f t="shared" si="57"/>
        <v>121.75</v>
      </c>
      <c r="O453" s="38">
        <f t="shared" ca="1" si="59"/>
        <v>47</v>
      </c>
      <c r="P453" s="36">
        <f t="shared" ca="1" si="56"/>
        <v>-1339.25</v>
      </c>
      <c r="Q453" s="36">
        <f t="shared" ca="1" si="58"/>
        <v>1</v>
      </c>
      <c r="R453" s="535" t="s">
        <v>2702</v>
      </c>
    </row>
    <row r="454" spans="2:18" s="4" customFormat="1" ht="54.75" customHeight="1" x14ac:dyDescent="0.25">
      <c r="B454" s="24">
        <v>44452</v>
      </c>
      <c r="C454" s="24" t="s">
        <v>2349</v>
      </c>
      <c r="D454" s="53" t="s">
        <v>3845</v>
      </c>
      <c r="E454" s="26" t="s">
        <v>3846</v>
      </c>
      <c r="F454" s="53" t="s">
        <v>3847</v>
      </c>
      <c r="G454" s="56" t="s">
        <v>28</v>
      </c>
      <c r="H454" s="53" t="s">
        <v>3848</v>
      </c>
      <c r="I454" s="53" t="s">
        <v>19</v>
      </c>
      <c r="J454" s="53">
        <v>30196.2</v>
      </c>
      <c r="K454" s="53">
        <v>56.905900000000003</v>
      </c>
      <c r="L454" s="59">
        <f t="shared" si="51"/>
        <v>530.63390615032881</v>
      </c>
      <c r="M454" s="53">
        <v>48</v>
      </c>
      <c r="N454" s="57">
        <f t="shared" ref="N454:N517" si="60">J454/M454</f>
        <v>629.08749999999998</v>
      </c>
      <c r="O454" s="38">
        <f t="shared" ca="1" si="59"/>
        <v>47</v>
      </c>
      <c r="P454" s="36">
        <f t="shared" ca="1" si="56"/>
        <v>629.08750000000146</v>
      </c>
      <c r="Q454" s="36">
        <f t="shared" ca="1" si="58"/>
        <v>629.08750000000146</v>
      </c>
      <c r="R454" s="535" t="s">
        <v>30</v>
      </c>
    </row>
    <row r="455" spans="2:18" s="4" customFormat="1" ht="59.25" customHeight="1" x14ac:dyDescent="0.25">
      <c r="B455" s="24">
        <v>44455</v>
      </c>
      <c r="C455" s="24" t="s">
        <v>2349</v>
      </c>
      <c r="D455" s="53" t="s">
        <v>3849</v>
      </c>
      <c r="E455" s="26" t="s">
        <v>3850</v>
      </c>
      <c r="F455" s="53" t="s">
        <v>3851</v>
      </c>
      <c r="G455" s="56" t="s">
        <v>28</v>
      </c>
      <c r="H455" s="53" t="s">
        <v>3848</v>
      </c>
      <c r="I455" s="53" t="s">
        <v>19</v>
      </c>
      <c r="J455" s="53">
        <v>18290</v>
      </c>
      <c r="K455" s="53">
        <v>56.575899999999997</v>
      </c>
      <c r="L455" s="59">
        <f t="shared" si="51"/>
        <v>323.28252842641479</v>
      </c>
      <c r="M455" s="53">
        <v>60</v>
      </c>
      <c r="N455" s="57">
        <f t="shared" si="60"/>
        <v>304.83333333333331</v>
      </c>
      <c r="O455" s="38">
        <f t="shared" ca="1" si="59"/>
        <v>46</v>
      </c>
      <c r="P455" s="36">
        <f t="shared" ca="1" si="56"/>
        <v>4267.6666666666679</v>
      </c>
      <c r="Q455" s="36">
        <f t="shared" ca="1" si="58"/>
        <v>4267.6666666666679</v>
      </c>
      <c r="R455" s="535" t="s">
        <v>3852</v>
      </c>
    </row>
    <row r="456" spans="2:18" s="4" customFormat="1" ht="65.25" customHeight="1" x14ac:dyDescent="0.25">
      <c r="B456" s="24">
        <v>44456</v>
      </c>
      <c r="C456" s="24" t="s">
        <v>2349</v>
      </c>
      <c r="D456" s="53" t="s">
        <v>3853</v>
      </c>
      <c r="E456" s="26" t="s">
        <v>3854</v>
      </c>
      <c r="F456" s="53" t="s">
        <v>3855</v>
      </c>
      <c r="G456" s="56" t="s">
        <v>28</v>
      </c>
      <c r="H456" s="53" t="s">
        <v>3856</v>
      </c>
      <c r="I456" s="53" t="s">
        <v>19</v>
      </c>
      <c r="J456" s="53">
        <v>8260</v>
      </c>
      <c r="K456" s="53">
        <v>56.575899999999997</v>
      </c>
      <c r="L456" s="59">
        <f t="shared" si="51"/>
        <v>145.99856122483249</v>
      </c>
      <c r="M456" s="53">
        <v>60</v>
      </c>
      <c r="N456" s="57">
        <f t="shared" si="60"/>
        <v>137.66666666666666</v>
      </c>
      <c r="O456" s="38">
        <f t="shared" ca="1" si="59"/>
        <v>46</v>
      </c>
      <c r="P456" s="36">
        <f t="shared" ca="1" si="56"/>
        <v>1927.3333333333339</v>
      </c>
      <c r="Q456" s="36">
        <f t="shared" ca="1" si="58"/>
        <v>1927.3333333333339</v>
      </c>
      <c r="R456" s="535" t="s">
        <v>3857</v>
      </c>
    </row>
    <row r="457" spans="2:18" s="4" customFormat="1" ht="72" customHeight="1" x14ac:dyDescent="0.25">
      <c r="B457" s="24">
        <v>44456</v>
      </c>
      <c r="C457" s="24" t="s">
        <v>2349</v>
      </c>
      <c r="D457" s="53" t="s">
        <v>3858</v>
      </c>
      <c r="E457" s="26" t="s">
        <v>3859</v>
      </c>
      <c r="F457" s="53" t="s">
        <v>3855</v>
      </c>
      <c r="G457" s="56" t="s">
        <v>28</v>
      </c>
      <c r="H457" s="53" t="s">
        <v>3856</v>
      </c>
      <c r="I457" s="53" t="s">
        <v>19</v>
      </c>
      <c r="J457" s="53">
        <v>8260</v>
      </c>
      <c r="K457" s="53">
        <v>56.575899999999997</v>
      </c>
      <c r="L457" s="59">
        <f t="shared" si="51"/>
        <v>145.99856122483249</v>
      </c>
      <c r="M457" s="53">
        <v>60</v>
      </c>
      <c r="N457" s="57">
        <f t="shared" si="60"/>
        <v>137.66666666666666</v>
      </c>
      <c r="O457" s="38">
        <f t="shared" ca="1" si="59"/>
        <v>46</v>
      </c>
      <c r="P457" s="36">
        <f t="shared" ref="P457:P520" ca="1" si="61">IF(OR(J457=0,M457=0,O457=0),0,J457-(N457*O457))</f>
        <v>1927.3333333333339</v>
      </c>
      <c r="Q457" s="36">
        <f t="shared" ca="1" si="58"/>
        <v>1927.3333333333339</v>
      </c>
      <c r="R457" s="535" t="s">
        <v>3857</v>
      </c>
    </row>
    <row r="458" spans="2:18" s="4" customFormat="1" ht="114.75" x14ac:dyDescent="0.25">
      <c r="B458" s="24">
        <v>44476</v>
      </c>
      <c r="C458" s="24" t="s">
        <v>2349</v>
      </c>
      <c r="D458" s="53" t="s">
        <v>3860</v>
      </c>
      <c r="E458" s="26" t="s">
        <v>3861</v>
      </c>
      <c r="F458" s="53" t="s">
        <v>3862</v>
      </c>
      <c r="G458" s="56" t="s">
        <v>28</v>
      </c>
      <c r="H458" s="53" t="s">
        <v>3863</v>
      </c>
      <c r="I458" s="53" t="s">
        <v>3756</v>
      </c>
      <c r="J458" s="53">
        <v>35004.699999999997</v>
      </c>
      <c r="K458" s="53">
        <v>56.214700000000001</v>
      </c>
      <c r="L458" s="59">
        <f t="shared" si="51"/>
        <v>622.69655445995431</v>
      </c>
      <c r="M458" s="53">
        <v>48</v>
      </c>
      <c r="N458" s="57">
        <f t="shared" si="60"/>
        <v>729.26458333333323</v>
      </c>
      <c r="O458" s="38">
        <f t="shared" ca="1" si="59"/>
        <v>46</v>
      </c>
      <c r="P458" s="36">
        <f t="shared" ca="1" si="61"/>
        <v>1458.5291666666672</v>
      </c>
      <c r="Q458" s="36">
        <f t="shared" ca="1" si="58"/>
        <v>1458.5291666666672</v>
      </c>
      <c r="R458" s="535" t="s">
        <v>30</v>
      </c>
    </row>
    <row r="459" spans="2:18" s="4" customFormat="1" ht="139.5" customHeight="1" x14ac:dyDescent="0.25">
      <c r="B459" s="24">
        <v>44476</v>
      </c>
      <c r="C459" s="24" t="s">
        <v>2349</v>
      </c>
      <c r="D459" s="53" t="s">
        <v>3860</v>
      </c>
      <c r="E459" s="26" t="s">
        <v>3864</v>
      </c>
      <c r="F459" s="53" t="s">
        <v>3865</v>
      </c>
      <c r="G459" s="56" t="s">
        <v>28</v>
      </c>
      <c r="H459" s="53" t="s">
        <v>3755</v>
      </c>
      <c r="I459" s="53" t="s">
        <v>3756</v>
      </c>
      <c r="J459" s="53">
        <v>16738.3</v>
      </c>
      <c r="K459" s="53">
        <v>56.214700000000001</v>
      </c>
      <c r="L459" s="59">
        <f t="shared" si="51"/>
        <v>297.75663660928547</v>
      </c>
      <c r="M459" s="53">
        <v>48</v>
      </c>
      <c r="N459" s="57">
        <f t="shared" si="60"/>
        <v>348.71458333333334</v>
      </c>
      <c r="O459" s="38">
        <f t="shared" ca="1" si="59"/>
        <v>46</v>
      </c>
      <c r="P459" s="36">
        <f t="shared" ca="1" si="61"/>
        <v>697.42916666666497</v>
      </c>
      <c r="Q459" s="36">
        <f t="shared" ca="1" si="58"/>
        <v>697.42916666666497</v>
      </c>
      <c r="R459" s="535" t="s">
        <v>30</v>
      </c>
    </row>
    <row r="460" spans="2:18" s="4" customFormat="1" ht="107.25" customHeight="1" x14ac:dyDescent="0.25">
      <c r="B460" s="24">
        <v>44551</v>
      </c>
      <c r="C460" s="24" t="s">
        <v>2349</v>
      </c>
      <c r="D460" s="53" t="s">
        <v>3866</v>
      </c>
      <c r="E460" s="26" t="s">
        <v>3867</v>
      </c>
      <c r="F460" s="53" t="s">
        <v>3868</v>
      </c>
      <c r="G460" s="56" t="s">
        <v>28</v>
      </c>
      <c r="H460" s="26" t="s">
        <v>60</v>
      </c>
      <c r="I460" s="53" t="s">
        <v>19</v>
      </c>
      <c r="J460" s="53">
        <v>130358.33</v>
      </c>
      <c r="K460" s="53">
        <v>56.741900000000001</v>
      </c>
      <c r="L460" s="59">
        <f t="shared" si="51"/>
        <v>2297.3909932519005</v>
      </c>
      <c r="M460" s="53">
        <v>48</v>
      </c>
      <c r="N460" s="57">
        <f t="shared" si="60"/>
        <v>2715.7985416666666</v>
      </c>
      <c r="O460" s="38">
        <f t="shared" ca="1" si="59"/>
        <v>43</v>
      </c>
      <c r="P460" s="36">
        <f t="shared" ca="1" si="61"/>
        <v>13578.992708333346</v>
      </c>
      <c r="Q460" s="36">
        <f t="shared" ca="1" si="58"/>
        <v>13578.992708333346</v>
      </c>
      <c r="R460" s="535" t="s">
        <v>3869</v>
      </c>
    </row>
    <row r="461" spans="2:18" s="4" customFormat="1" ht="107.25" customHeight="1" x14ac:dyDescent="0.25">
      <c r="B461" s="24">
        <v>44551</v>
      </c>
      <c r="C461" s="24" t="s">
        <v>2349</v>
      </c>
      <c r="D461" s="53" t="s">
        <v>3866</v>
      </c>
      <c r="E461" s="26" t="s">
        <v>3870</v>
      </c>
      <c r="F461" s="53" t="s">
        <v>3871</v>
      </c>
      <c r="G461" s="56" t="s">
        <v>28</v>
      </c>
      <c r="H461" s="26" t="s">
        <v>60</v>
      </c>
      <c r="I461" s="53" t="s">
        <v>19</v>
      </c>
      <c r="J461" s="53">
        <v>130358.3</v>
      </c>
      <c r="K461" s="53">
        <v>56.741900000000001</v>
      </c>
      <c r="L461" s="59">
        <f t="shared" si="51"/>
        <v>2297.3904645420757</v>
      </c>
      <c r="M461" s="53">
        <v>48</v>
      </c>
      <c r="N461" s="57">
        <f t="shared" si="60"/>
        <v>2715.7979166666669</v>
      </c>
      <c r="O461" s="38">
        <f t="shared" ca="1" si="59"/>
        <v>43</v>
      </c>
      <c r="P461" s="36">
        <f t="shared" ca="1" si="61"/>
        <v>13578.989583333328</v>
      </c>
      <c r="Q461" s="36">
        <f t="shared" ca="1" si="58"/>
        <v>13578.989583333328</v>
      </c>
      <c r="R461" s="535" t="s">
        <v>3869</v>
      </c>
    </row>
    <row r="462" spans="2:18" s="4" customFormat="1" ht="107.25" customHeight="1" x14ac:dyDescent="0.25">
      <c r="B462" s="24">
        <v>44551</v>
      </c>
      <c r="C462" s="24" t="s">
        <v>2349</v>
      </c>
      <c r="D462" s="53" t="s">
        <v>3866</v>
      </c>
      <c r="E462" s="26" t="s">
        <v>3872</v>
      </c>
      <c r="F462" s="53" t="s">
        <v>3873</v>
      </c>
      <c r="G462" s="56" t="s">
        <v>28</v>
      </c>
      <c r="H462" s="26" t="s">
        <v>60</v>
      </c>
      <c r="I462" s="53" t="s">
        <v>19</v>
      </c>
      <c r="J462" s="53">
        <v>130358.3</v>
      </c>
      <c r="K462" s="53">
        <v>56.741900000000001</v>
      </c>
      <c r="L462" s="59">
        <f t="shared" si="51"/>
        <v>2297.3904645420757</v>
      </c>
      <c r="M462" s="53">
        <v>48</v>
      </c>
      <c r="N462" s="57">
        <f t="shared" si="60"/>
        <v>2715.7979166666669</v>
      </c>
      <c r="O462" s="38">
        <f t="shared" ca="1" si="59"/>
        <v>43</v>
      </c>
      <c r="P462" s="36">
        <f t="shared" ca="1" si="61"/>
        <v>13578.989583333328</v>
      </c>
      <c r="Q462" s="36">
        <f t="shared" ca="1" si="58"/>
        <v>13578.989583333328</v>
      </c>
      <c r="R462" s="535" t="s">
        <v>3869</v>
      </c>
    </row>
    <row r="463" spans="2:18" s="4" customFormat="1" ht="107.25" customHeight="1" x14ac:dyDescent="0.25">
      <c r="B463" s="24">
        <v>44551</v>
      </c>
      <c r="C463" s="24" t="s">
        <v>2349</v>
      </c>
      <c r="D463" s="53" t="s">
        <v>3866</v>
      </c>
      <c r="E463" s="26" t="s">
        <v>3874</v>
      </c>
      <c r="F463" s="53" t="s">
        <v>3875</v>
      </c>
      <c r="G463" s="56" t="s">
        <v>28</v>
      </c>
      <c r="H463" s="26" t="s">
        <v>60</v>
      </c>
      <c r="I463" s="53" t="s">
        <v>19</v>
      </c>
      <c r="J463" s="53">
        <v>130358.3</v>
      </c>
      <c r="K463" s="53">
        <v>56.741900000000001</v>
      </c>
      <c r="L463" s="59">
        <f t="shared" si="51"/>
        <v>2297.3904645420757</v>
      </c>
      <c r="M463" s="53">
        <v>48</v>
      </c>
      <c r="N463" s="57">
        <f t="shared" si="60"/>
        <v>2715.7979166666669</v>
      </c>
      <c r="O463" s="38">
        <f t="shared" ca="1" si="59"/>
        <v>43</v>
      </c>
      <c r="P463" s="36">
        <f t="shared" ca="1" si="61"/>
        <v>13578.989583333328</v>
      </c>
      <c r="Q463" s="36">
        <f t="shared" ca="1" si="58"/>
        <v>13578.989583333328</v>
      </c>
      <c r="R463" s="535" t="s">
        <v>3869</v>
      </c>
    </row>
    <row r="464" spans="2:18" s="4" customFormat="1" ht="107.25" customHeight="1" x14ac:dyDescent="0.25">
      <c r="B464" s="24">
        <v>44551</v>
      </c>
      <c r="C464" s="24" t="s">
        <v>2349</v>
      </c>
      <c r="D464" s="53" t="s">
        <v>3866</v>
      </c>
      <c r="E464" s="26" t="s">
        <v>3876</v>
      </c>
      <c r="F464" s="53" t="s">
        <v>3877</v>
      </c>
      <c r="G464" s="56" t="s">
        <v>28</v>
      </c>
      <c r="H464" s="26" t="s">
        <v>60</v>
      </c>
      <c r="I464" s="53" t="s">
        <v>19</v>
      </c>
      <c r="J464" s="53">
        <v>130358.3</v>
      </c>
      <c r="K464" s="53">
        <v>56.741900000000001</v>
      </c>
      <c r="L464" s="59">
        <f t="shared" si="51"/>
        <v>2297.3904645420757</v>
      </c>
      <c r="M464" s="53">
        <v>48</v>
      </c>
      <c r="N464" s="57">
        <f t="shared" si="60"/>
        <v>2715.7979166666669</v>
      </c>
      <c r="O464" s="38">
        <f t="shared" ca="1" si="59"/>
        <v>43</v>
      </c>
      <c r="P464" s="36">
        <f t="shared" ca="1" si="61"/>
        <v>13578.989583333328</v>
      </c>
      <c r="Q464" s="36">
        <f t="shared" ca="1" si="58"/>
        <v>13578.989583333328</v>
      </c>
      <c r="R464" s="535" t="s">
        <v>3869</v>
      </c>
    </row>
    <row r="465" spans="2:18" s="4" customFormat="1" ht="107.25" customHeight="1" x14ac:dyDescent="0.25">
      <c r="B465" s="24">
        <v>44551</v>
      </c>
      <c r="C465" s="24" t="s">
        <v>2349</v>
      </c>
      <c r="D465" s="53" t="s">
        <v>3866</v>
      </c>
      <c r="E465" s="26" t="s">
        <v>3878</v>
      </c>
      <c r="F465" s="53" t="s">
        <v>3879</v>
      </c>
      <c r="G465" s="56" t="s">
        <v>28</v>
      </c>
      <c r="H465" s="26" t="s">
        <v>60</v>
      </c>
      <c r="I465" s="53" t="s">
        <v>19</v>
      </c>
      <c r="J465" s="53">
        <v>130358.3</v>
      </c>
      <c r="K465" s="53">
        <v>56.741900000000001</v>
      </c>
      <c r="L465" s="59">
        <f t="shared" si="51"/>
        <v>2297.3904645420757</v>
      </c>
      <c r="M465" s="53">
        <v>48</v>
      </c>
      <c r="N465" s="57">
        <f t="shared" si="60"/>
        <v>2715.7979166666669</v>
      </c>
      <c r="O465" s="38">
        <f t="shared" ca="1" si="59"/>
        <v>43</v>
      </c>
      <c r="P465" s="36">
        <f t="shared" ca="1" si="61"/>
        <v>13578.989583333328</v>
      </c>
      <c r="Q465" s="36">
        <f t="shared" ca="1" si="58"/>
        <v>13578.989583333328</v>
      </c>
      <c r="R465" s="535" t="s">
        <v>3869</v>
      </c>
    </row>
    <row r="466" spans="2:18" s="4" customFormat="1" ht="107.25" customHeight="1" x14ac:dyDescent="0.25">
      <c r="B466" s="24">
        <v>44551</v>
      </c>
      <c r="C466" s="24" t="s">
        <v>2349</v>
      </c>
      <c r="D466" s="53" t="s">
        <v>3866</v>
      </c>
      <c r="E466" s="26" t="s">
        <v>3880</v>
      </c>
      <c r="F466" s="53" t="s">
        <v>3881</v>
      </c>
      <c r="G466" s="56" t="s">
        <v>28</v>
      </c>
      <c r="H466" s="26" t="s">
        <v>60</v>
      </c>
      <c r="I466" s="53" t="s">
        <v>19</v>
      </c>
      <c r="J466" s="53">
        <v>126753.24</v>
      </c>
      <c r="K466" s="53">
        <v>56.741900000000001</v>
      </c>
      <c r="L466" s="59">
        <f t="shared" si="51"/>
        <v>2233.8561098588521</v>
      </c>
      <c r="M466" s="53">
        <v>48</v>
      </c>
      <c r="N466" s="57">
        <f t="shared" si="60"/>
        <v>2640.6925000000001</v>
      </c>
      <c r="O466" s="38">
        <f t="shared" ca="1" si="59"/>
        <v>43</v>
      </c>
      <c r="P466" s="36">
        <f t="shared" ca="1" si="61"/>
        <v>13203.462499999994</v>
      </c>
      <c r="Q466" s="36">
        <f t="shared" ca="1" si="58"/>
        <v>13203.462499999994</v>
      </c>
      <c r="R466" s="535" t="s">
        <v>3869</v>
      </c>
    </row>
    <row r="467" spans="2:18" s="4" customFormat="1" ht="107.25" customHeight="1" x14ac:dyDescent="0.25">
      <c r="B467" s="24">
        <v>44551</v>
      </c>
      <c r="C467" s="24" t="s">
        <v>2349</v>
      </c>
      <c r="D467" s="53" t="s">
        <v>3866</v>
      </c>
      <c r="E467" s="26" t="s">
        <v>3882</v>
      </c>
      <c r="F467" s="53" t="s">
        <v>3881</v>
      </c>
      <c r="G467" s="56" t="s">
        <v>28</v>
      </c>
      <c r="H467" s="26" t="s">
        <v>60</v>
      </c>
      <c r="I467" s="53" t="s">
        <v>19</v>
      </c>
      <c r="J467" s="53">
        <v>126753.24</v>
      </c>
      <c r="K467" s="53">
        <v>56.741900000000001</v>
      </c>
      <c r="L467" s="59">
        <f t="shared" si="51"/>
        <v>2233.8561098588521</v>
      </c>
      <c r="M467" s="53">
        <v>48</v>
      </c>
      <c r="N467" s="57">
        <f t="shared" si="60"/>
        <v>2640.6925000000001</v>
      </c>
      <c r="O467" s="38">
        <f t="shared" ca="1" si="59"/>
        <v>43</v>
      </c>
      <c r="P467" s="36">
        <f t="shared" ca="1" si="61"/>
        <v>13203.462499999994</v>
      </c>
      <c r="Q467" s="36">
        <f t="shared" ca="1" si="58"/>
        <v>13203.462499999994</v>
      </c>
      <c r="R467" s="535" t="s">
        <v>3869</v>
      </c>
    </row>
    <row r="468" spans="2:18" s="4" customFormat="1" ht="107.25" customHeight="1" x14ac:dyDescent="0.25">
      <c r="B468" s="24">
        <v>44551</v>
      </c>
      <c r="C468" s="24" t="s">
        <v>2349</v>
      </c>
      <c r="D468" s="53" t="s">
        <v>3866</v>
      </c>
      <c r="E468" s="26" t="s">
        <v>3883</v>
      </c>
      <c r="F468" s="53" t="s">
        <v>3884</v>
      </c>
      <c r="G468" s="56" t="s">
        <v>28</v>
      </c>
      <c r="H468" s="26" t="s">
        <v>60</v>
      </c>
      <c r="I468" s="53" t="s">
        <v>19</v>
      </c>
      <c r="J468" s="53">
        <v>7101.49</v>
      </c>
      <c r="K468" s="53">
        <v>56.741900000000001</v>
      </c>
      <c r="L468" s="59">
        <f t="shared" si="51"/>
        <v>125.15425109134519</v>
      </c>
      <c r="M468" s="53">
        <v>48</v>
      </c>
      <c r="N468" s="57">
        <f t="shared" si="60"/>
        <v>147.94770833333334</v>
      </c>
      <c r="O468" s="38">
        <f t="shared" ca="1" si="59"/>
        <v>43</v>
      </c>
      <c r="P468" s="36">
        <f t="shared" ca="1" si="61"/>
        <v>739.73854166666661</v>
      </c>
      <c r="Q468" s="36">
        <f t="shared" ca="1" si="58"/>
        <v>739.73854166666661</v>
      </c>
      <c r="R468" s="535" t="s">
        <v>3869</v>
      </c>
    </row>
    <row r="469" spans="2:18" s="4" customFormat="1" ht="107.25" customHeight="1" x14ac:dyDescent="0.25">
      <c r="B469" s="24">
        <v>44551</v>
      </c>
      <c r="C469" s="24" t="s">
        <v>2349</v>
      </c>
      <c r="D469" s="53" t="s">
        <v>3866</v>
      </c>
      <c r="E469" s="26" t="s">
        <v>3885</v>
      </c>
      <c r="F469" s="62" t="s">
        <v>3886</v>
      </c>
      <c r="G469" s="56" t="s">
        <v>28</v>
      </c>
      <c r="H469" s="26" t="s">
        <v>60</v>
      </c>
      <c r="I469" s="53" t="s">
        <v>19</v>
      </c>
      <c r="J469" s="53">
        <v>40195.53</v>
      </c>
      <c r="K469" s="53">
        <v>56.741900000000001</v>
      </c>
      <c r="L469" s="59">
        <f>J466/K469</f>
        <v>2233.8561098588521</v>
      </c>
      <c r="M469" s="53">
        <v>48</v>
      </c>
      <c r="N469" s="57">
        <f>J466/M469</f>
        <v>2640.6925000000001</v>
      </c>
      <c r="O469" s="38">
        <f t="shared" ca="1" si="59"/>
        <v>43</v>
      </c>
      <c r="P469" s="36">
        <f t="shared" ca="1" si="61"/>
        <v>-73354.247500000012</v>
      </c>
      <c r="Q469" s="36">
        <f t="shared" ca="1" si="58"/>
        <v>1</v>
      </c>
      <c r="R469" s="535" t="s">
        <v>3869</v>
      </c>
    </row>
    <row r="470" spans="2:18" s="4" customFormat="1" ht="107.25" customHeight="1" x14ac:dyDescent="0.25">
      <c r="B470" s="24">
        <v>44551</v>
      </c>
      <c r="C470" s="24" t="s">
        <v>2349</v>
      </c>
      <c r="D470" s="53" t="s">
        <v>3866</v>
      </c>
      <c r="E470" s="26" t="s">
        <v>3887</v>
      </c>
      <c r="F470" s="62" t="s">
        <v>3888</v>
      </c>
      <c r="G470" s="56" t="s">
        <v>28</v>
      </c>
      <c r="H470" s="26" t="s">
        <v>60</v>
      </c>
      <c r="I470" s="53" t="s">
        <v>19</v>
      </c>
      <c r="J470" s="53">
        <v>193.27</v>
      </c>
      <c r="K470" s="53">
        <v>56.741900000000001</v>
      </c>
      <c r="L470" s="59">
        <f>J467/K470</f>
        <v>2233.8561098588521</v>
      </c>
      <c r="M470" s="53">
        <v>48</v>
      </c>
      <c r="N470" s="57">
        <f>J467/M470</f>
        <v>2640.6925000000001</v>
      </c>
      <c r="O470" s="38">
        <f t="shared" ca="1" si="59"/>
        <v>43</v>
      </c>
      <c r="P470" s="36">
        <f t="shared" ca="1" si="61"/>
        <v>-113356.50750000001</v>
      </c>
      <c r="Q470" s="36">
        <f t="shared" ca="1" si="58"/>
        <v>1</v>
      </c>
      <c r="R470" s="535" t="s">
        <v>3869</v>
      </c>
    </row>
    <row r="471" spans="2:18" s="4" customFormat="1" ht="107.25" customHeight="1" x14ac:dyDescent="0.25">
      <c r="B471" s="24">
        <v>44551</v>
      </c>
      <c r="C471" s="24" t="s">
        <v>2349</v>
      </c>
      <c r="D471" s="53" t="s">
        <v>3866</v>
      </c>
      <c r="E471" s="26" t="s">
        <v>3889</v>
      </c>
      <c r="F471" s="62" t="s">
        <v>3888</v>
      </c>
      <c r="G471" s="56" t="s">
        <v>28</v>
      </c>
      <c r="H471" s="26" t="s">
        <v>60</v>
      </c>
      <c r="I471" s="53" t="s">
        <v>19</v>
      </c>
      <c r="J471" s="53">
        <v>193.26</v>
      </c>
      <c r="K471" s="53">
        <v>56.741900000000001</v>
      </c>
      <c r="L471" s="59">
        <f>J469/K471</f>
        <v>708.39238728347129</v>
      </c>
      <c r="M471" s="53">
        <v>48</v>
      </c>
      <c r="N471" s="57">
        <f>J469/M471</f>
        <v>837.40687500000001</v>
      </c>
      <c r="O471" s="38">
        <f t="shared" ca="1" si="59"/>
        <v>43</v>
      </c>
      <c r="P471" s="36">
        <f t="shared" ca="1" si="61"/>
        <v>-35815.235625000001</v>
      </c>
      <c r="Q471" s="36">
        <f t="shared" ca="1" si="58"/>
        <v>1</v>
      </c>
      <c r="R471" s="535" t="s">
        <v>3869</v>
      </c>
    </row>
    <row r="472" spans="2:18" s="4" customFormat="1" ht="107.25" customHeight="1" x14ac:dyDescent="0.25">
      <c r="B472" s="24">
        <v>44551</v>
      </c>
      <c r="C472" s="24" t="s">
        <v>2349</v>
      </c>
      <c r="D472" s="53" t="s">
        <v>3866</v>
      </c>
      <c r="E472" s="26" t="s">
        <v>3890</v>
      </c>
      <c r="F472" s="62" t="s">
        <v>3888</v>
      </c>
      <c r="G472" s="56" t="s">
        <v>28</v>
      </c>
      <c r="H472" s="26" t="s">
        <v>60</v>
      </c>
      <c r="I472" s="53" t="s">
        <v>19</v>
      </c>
      <c r="J472" s="53">
        <v>193.26</v>
      </c>
      <c r="K472" s="53">
        <v>56.741900000000001</v>
      </c>
      <c r="L472" s="59">
        <f t="shared" si="51"/>
        <v>3.4059486904738825</v>
      </c>
      <c r="M472" s="53">
        <v>48</v>
      </c>
      <c r="N472" s="57">
        <f t="shared" si="60"/>
        <v>4.0262500000000001</v>
      </c>
      <c r="O472" s="38">
        <f t="shared" ca="1" si="59"/>
        <v>43</v>
      </c>
      <c r="P472" s="36">
        <f t="shared" ca="1" si="61"/>
        <v>20.131249999999994</v>
      </c>
      <c r="Q472" s="36">
        <f t="shared" ca="1" si="58"/>
        <v>20.131249999999994</v>
      </c>
      <c r="R472" s="535" t="s">
        <v>3869</v>
      </c>
    </row>
    <row r="473" spans="2:18" s="4" customFormat="1" ht="107.25" customHeight="1" x14ac:dyDescent="0.25">
      <c r="B473" s="24">
        <v>44551</v>
      </c>
      <c r="C473" s="24" t="s">
        <v>2349</v>
      </c>
      <c r="D473" s="53" t="s">
        <v>3866</v>
      </c>
      <c r="E473" s="26" t="s">
        <v>3891</v>
      </c>
      <c r="F473" s="62" t="s">
        <v>3888</v>
      </c>
      <c r="G473" s="56" t="s">
        <v>28</v>
      </c>
      <c r="H473" s="26" t="s">
        <v>60</v>
      </c>
      <c r="I473" s="53" t="s">
        <v>19</v>
      </c>
      <c r="J473" s="53">
        <v>193.26</v>
      </c>
      <c r="K473" s="53">
        <v>56.741900000000001</v>
      </c>
      <c r="L473" s="59">
        <f t="shared" si="51"/>
        <v>3.4059486904738825</v>
      </c>
      <c r="M473" s="53">
        <v>48</v>
      </c>
      <c r="N473" s="57">
        <f t="shared" si="60"/>
        <v>4.0262500000000001</v>
      </c>
      <c r="O473" s="38">
        <f t="shared" ca="1" si="59"/>
        <v>43</v>
      </c>
      <c r="P473" s="36">
        <f t="shared" ca="1" si="61"/>
        <v>20.131249999999994</v>
      </c>
      <c r="Q473" s="36">
        <f t="shared" ca="1" si="58"/>
        <v>20.131249999999994</v>
      </c>
      <c r="R473" s="535" t="s">
        <v>3869</v>
      </c>
    </row>
    <row r="474" spans="2:18" s="4" customFormat="1" ht="107.25" customHeight="1" x14ac:dyDescent="0.25">
      <c r="B474" s="24">
        <v>44551</v>
      </c>
      <c r="C474" s="24" t="s">
        <v>2349</v>
      </c>
      <c r="D474" s="53" t="s">
        <v>3866</v>
      </c>
      <c r="E474" s="26" t="s">
        <v>3892</v>
      </c>
      <c r="F474" s="62" t="s">
        <v>3888</v>
      </c>
      <c r="G474" s="56" t="s">
        <v>28</v>
      </c>
      <c r="H474" s="26" t="s">
        <v>60</v>
      </c>
      <c r="I474" s="53" t="s">
        <v>19</v>
      </c>
      <c r="J474" s="53">
        <v>193.26</v>
      </c>
      <c r="K474" s="53">
        <v>56.741900000000001</v>
      </c>
      <c r="L474" s="59">
        <f t="shared" si="51"/>
        <v>3.4059486904738825</v>
      </c>
      <c r="M474" s="53">
        <v>48</v>
      </c>
      <c r="N474" s="57">
        <f t="shared" si="60"/>
        <v>4.0262500000000001</v>
      </c>
      <c r="O474" s="38">
        <f t="shared" ca="1" si="59"/>
        <v>43</v>
      </c>
      <c r="P474" s="36">
        <f t="shared" ca="1" si="61"/>
        <v>20.131249999999994</v>
      </c>
      <c r="Q474" s="36">
        <f t="shared" ca="1" si="58"/>
        <v>20.131249999999994</v>
      </c>
      <c r="R474" s="535" t="s">
        <v>3869</v>
      </c>
    </row>
    <row r="475" spans="2:18" s="4" customFormat="1" ht="107.25" customHeight="1" x14ac:dyDescent="0.25">
      <c r="B475" s="24">
        <v>44551</v>
      </c>
      <c r="C475" s="24" t="s">
        <v>2349</v>
      </c>
      <c r="D475" s="53" t="s">
        <v>3866</v>
      </c>
      <c r="E475" s="26" t="s">
        <v>3893</v>
      </c>
      <c r="F475" s="62" t="s">
        <v>3888</v>
      </c>
      <c r="G475" s="56" t="s">
        <v>28</v>
      </c>
      <c r="H475" s="26" t="s">
        <v>60</v>
      </c>
      <c r="I475" s="53" t="s">
        <v>19</v>
      </c>
      <c r="J475" s="53">
        <v>193.26</v>
      </c>
      <c r="K475" s="53">
        <v>56.741900000000001</v>
      </c>
      <c r="L475" s="59">
        <f t="shared" si="51"/>
        <v>3.4059486904738825</v>
      </c>
      <c r="M475" s="53">
        <v>48</v>
      </c>
      <c r="N475" s="57">
        <f t="shared" si="60"/>
        <v>4.0262500000000001</v>
      </c>
      <c r="O475" s="38">
        <f t="shared" ca="1" si="59"/>
        <v>43</v>
      </c>
      <c r="P475" s="36">
        <f t="shared" ca="1" si="61"/>
        <v>20.131249999999994</v>
      </c>
      <c r="Q475" s="36">
        <f t="shared" ca="1" si="58"/>
        <v>20.131249999999994</v>
      </c>
      <c r="R475" s="535" t="s">
        <v>3869</v>
      </c>
    </row>
    <row r="476" spans="2:18" s="4" customFormat="1" ht="107.25" customHeight="1" x14ac:dyDescent="0.25">
      <c r="B476" s="24">
        <v>44551</v>
      </c>
      <c r="C476" s="24" t="s">
        <v>2349</v>
      </c>
      <c r="D476" s="53" t="s">
        <v>3866</v>
      </c>
      <c r="E476" s="26" t="s">
        <v>3894</v>
      </c>
      <c r="F476" s="62" t="s">
        <v>3888</v>
      </c>
      <c r="G476" s="56" t="s">
        <v>28</v>
      </c>
      <c r="H476" s="26" t="s">
        <v>60</v>
      </c>
      <c r="I476" s="53" t="s">
        <v>19</v>
      </c>
      <c r="J476" s="53">
        <v>193.26</v>
      </c>
      <c r="K476" s="53">
        <v>56.741900000000001</v>
      </c>
      <c r="L476" s="59">
        <f t="shared" si="51"/>
        <v>3.4059486904738825</v>
      </c>
      <c r="M476" s="53">
        <v>48</v>
      </c>
      <c r="N476" s="57">
        <f t="shared" si="60"/>
        <v>4.0262500000000001</v>
      </c>
      <c r="O476" s="38">
        <f t="shared" ca="1" si="59"/>
        <v>43</v>
      </c>
      <c r="P476" s="36">
        <f t="shared" ca="1" si="61"/>
        <v>20.131249999999994</v>
      </c>
      <c r="Q476" s="36">
        <f t="shared" ca="1" si="58"/>
        <v>20.131249999999994</v>
      </c>
      <c r="R476" s="535" t="s">
        <v>3869</v>
      </c>
    </row>
    <row r="477" spans="2:18" s="4" customFormat="1" ht="107.25" customHeight="1" x14ac:dyDescent="0.25">
      <c r="B477" s="24">
        <v>44551</v>
      </c>
      <c r="C477" s="24" t="s">
        <v>2349</v>
      </c>
      <c r="D477" s="53" t="s">
        <v>3866</v>
      </c>
      <c r="E477" s="26" t="s">
        <v>3895</v>
      </c>
      <c r="F477" s="62" t="s">
        <v>3888</v>
      </c>
      <c r="G477" s="56" t="s">
        <v>28</v>
      </c>
      <c r="H477" s="26" t="s">
        <v>60</v>
      </c>
      <c r="I477" s="53" t="s">
        <v>19</v>
      </c>
      <c r="J477" s="53">
        <v>193.26</v>
      </c>
      <c r="K477" s="53">
        <v>56.741900000000001</v>
      </c>
      <c r="L477" s="59">
        <f t="shared" si="51"/>
        <v>3.4059486904738825</v>
      </c>
      <c r="M477" s="53">
        <v>48</v>
      </c>
      <c r="N477" s="57">
        <f t="shared" si="60"/>
        <v>4.0262500000000001</v>
      </c>
      <c r="O477" s="38">
        <f t="shared" ca="1" si="59"/>
        <v>43</v>
      </c>
      <c r="P477" s="36">
        <f t="shared" ca="1" si="61"/>
        <v>20.131249999999994</v>
      </c>
      <c r="Q477" s="36">
        <f t="shared" ca="1" si="58"/>
        <v>20.131249999999994</v>
      </c>
      <c r="R477" s="535" t="s">
        <v>3869</v>
      </c>
    </row>
    <row r="478" spans="2:18" s="4" customFormat="1" ht="107.25" customHeight="1" x14ac:dyDescent="0.25">
      <c r="B478" s="24">
        <v>44551</v>
      </c>
      <c r="C478" s="24" t="s">
        <v>2349</v>
      </c>
      <c r="D478" s="53" t="s">
        <v>3866</v>
      </c>
      <c r="E478" s="26" t="s">
        <v>3896</v>
      </c>
      <c r="F478" s="62" t="s">
        <v>3888</v>
      </c>
      <c r="G478" s="56" t="s">
        <v>28</v>
      </c>
      <c r="H478" s="26" t="s">
        <v>60</v>
      </c>
      <c r="I478" s="53" t="s">
        <v>19</v>
      </c>
      <c r="J478" s="53">
        <v>193.26</v>
      </c>
      <c r="K478" s="53">
        <v>56.741900000000001</v>
      </c>
      <c r="L478" s="59">
        <f t="shared" si="51"/>
        <v>3.4059486904738825</v>
      </c>
      <c r="M478" s="53">
        <v>48</v>
      </c>
      <c r="N478" s="57">
        <f t="shared" si="60"/>
        <v>4.0262500000000001</v>
      </c>
      <c r="O478" s="38">
        <f t="shared" ca="1" si="59"/>
        <v>43</v>
      </c>
      <c r="P478" s="36">
        <f t="shared" ca="1" si="61"/>
        <v>20.131249999999994</v>
      </c>
      <c r="Q478" s="36">
        <f t="shared" ca="1" si="58"/>
        <v>20.131249999999994</v>
      </c>
      <c r="R478" s="535" t="s">
        <v>3869</v>
      </c>
    </row>
    <row r="479" spans="2:18" s="4" customFormat="1" ht="107.25" customHeight="1" x14ac:dyDescent="0.25">
      <c r="B479" s="24">
        <v>44551</v>
      </c>
      <c r="C479" s="24" t="s">
        <v>2349</v>
      </c>
      <c r="D479" s="53" t="s">
        <v>3866</v>
      </c>
      <c r="E479" s="26" t="s">
        <v>3897</v>
      </c>
      <c r="F479" s="62" t="s">
        <v>3888</v>
      </c>
      <c r="G479" s="56" t="s">
        <v>28</v>
      </c>
      <c r="H479" s="26" t="s">
        <v>60</v>
      </c>
      <c r="I479" s="53" t="s">
        <v>19</v>
      </c>
      <c r="J479" s="53">
        <v>193.26</v>
      </c>
      <c r="K479" s="53">
        <v>56.741900000000001</v>
      </c>
      <c r="L479" s="59">
        <f t="shared" si="51"/>
        <v>3.4059486904738825</v>
      </c>
      <c r="M479" s="53">
        <v>48</v>
      </c>
      <c r="N479" s="57">
        <f t="shared" si="60"/>
        <v>4.0262500000000001</v>
      </c>
      <c r="O479" s="38">
        <f t="shared" ca="1" si="59"/>
        <v>43</v>
      </c>
      <c r="P479" s="36">
        <f t="shared" ca="1" si="61"/>
        <v>20.131249999999994</v>
      </c>
      <c r="Q479" s="36">
        <f t="shared" ca="1" si="58"/>
        <v>20.131249999999994</v>
      </c>
      <c r="R479" s="535" t="s">
        <v>3869</v>
      </c>
    </row>
    <row r="480" spans="2:18" s="4" customFormat="1" ht="107.25" customHeight="1" x14ac:dyDescent="0.25">
      <c r="B480" s="24">
        <v>44551</v>
      </c>
      <c r="C480" s="24" t="s">
        <v>2349</v>
      </c>
      <c r="D480" s="53" t="s">
        <v>3866</v>
      </c>
      <c r="E480" s="26" t="s">
        <v>3898</v>
      </c>
      <c r="F480" s="62" t="s">
        <v>3888</v>
      </c>
      <c r="G480" s="56" t="s">
        <v>28</v>
      </c>
      <c r="H480" s="26" t="s">
        <v>60</v>
      </c>
      <c r="I480" s="53" t="s">
        <v>19</v>
      </c>
      <c r="J480" s="53">
        <v>193.26</v>
      </c>
      <c r="K480" s="53">
        <v>56.741900000000001</v>
      </c>
      <c r="L480" s="59">
        <f t="shared" si="51"/>
        <v>3.4059486904738825</v>
      </c>
      <c r="M480" s="53">
        <v>48</v>
      </c>
      <c r="N480" s="57">
        <f t="shared" si="60"/>
        <v>4.0262500000000001</v>
      </c>
      <c r="O480" s="38">
        <f t="shared" ca="1" si="59"/>
        <v>43</v>
      </c>
      <c r="P480" s="36">
        <f t="shared" ca="1" si="61"/>
        <v>20.131249999999994</v>
      </c>
      <c r="Q480" s="36">
        <f t="shared" ca="1" si="58"/>
        <v>20.131249999999994</v>
      </c>
      <c r="R480" s="535" t="s">
        <v>3869</v>
      </c>
    </row>
    <row r="481" spans="2:18" s="4" customFormat="1" ht="107.25" customHeight="1" x14ac:dyDescent="0.25">
      <c r="B481" s="24">
        <v>44551</v>
      </c>
      <c r="C481" s="24" t="s">
        <v>2349</v>
      </c>
      <c r="D481" s="53" t="s">
        <v>3866</v>
      </c>
      <c r="E481" s="26" t="s">
        <v>3899</v>
      </c>
      <c r="F481" s="62" t="s">
        <v>3888</v>
      </c>
      <c r="G481" s="56" t="s">
        <v>28</v>
      </c>
      <c r="H481" s="26" t="s">
        <v>60</v>
      </c>
      <c r="I481" s="53" t="s">
        <v>19</v>
      </c>
      <c r="J481" s="53">
        <v>193.26</v>
      </c>
      <c r="K481" s="53">
        <v>56.741900000000001</v>
      </c>
      <c r="L481" s="59">
        <f t="shared" si="51"/>
        <v>3.4059486904738825</v>
      </c>
      <c r="M481" s="53">
        <v>48</v>
      </c>
      <c r="N481" s="57">
        <f t="shared" si="60"/>
        <v>4.0262500000000001</v>
      </c>
      <c r="O481" s="38">
        <f t="shared" ca="1" si="59"/>
        <v>43</v>
      </c>
      <c r="P481" s="36">
        <f t="shared" ca="1" si="61"/>
        <v>20.131249999999994</v>
      </c>
      <c r="Q481" s="36">
        <f t="shared" ca="1" si="58"/>
        <v>20.131249999999994</v>
      </c>
      <c r="R481" s="535" t="s">
        <v>3869</v>
      </c>
    </row>
    <row r="482" spans="2:18" s="4" customFormat="1" ht="107.25" customHeight="1" x14ac:dyDescent="0.25">
      <c r="B482" s="24">
        <v>44551</v>
      </c>
      <c r="C482" s="24" t="s">
        <v>2349</v>
      </c>
      <c r="D482" s="53" t="s">
        <v>3866</v>
      </c>
      <c r="E482" s="26" t="s">
        <v>3900</v>
      </c>
      <c r="F482" s="62" t="s">
        <v>3888</v>
      </c>
      <c r="G482" s="56" t="s">
        <v>28</v>
      </c>
      <c r="H482" s="26" t="s">
        <v>60</v>
      </c>
      <c r="I482" s="53" t="s">
        <v>19</v>
      </c>
      <c r="J482" s="53">
        <v>193.26</v>
      </c>
      <c r="K482" s="53">
        <v>56.741900000000001</v>
      </c>
      <c r="L482" s="59">
        <f t="shared" si="51"/>
        <v>3.4059486904738825</v>
      </c>
      <c r="M482" s="53">
        <v>48</v>
      </c>
      <c r="N482" s="57">
        <f t="shared" si="60"/>
        <v>4.0262500000000001</v>
      </c>
      <c r="O482" s="38">
        <f t="shared" ca="1" si="59"/>
        <v>43</v>
      </c>
      <c r="P482" s="36">
        <f t="shared" ca="1" si="61"/>
        <v>20.131249999999994</v>
      </c>
      <c r="Q482" s="36">
        <f t="shared" ca="1" si="58"/>
        <v>20.131249999999994</v>
      </c>
      <c r="R482" s="535" t="s">
        <v>3869</v>
      </c>
    </row>
    <row r="483" spans="2:18" s="4" customFormat="1" ht="107.25" customHeight="1" x14ac:dyDescent="0.25">
      <c r="B483" s="24">
        <v>44551</v>
      </c>
      <c r="C483" s="24" t="s">
        <v>2349</v>
      </c>
      <c r="D483" s="53" t="s">
        <v>3866</v>
      </c>
      <c r="E483" s="26" t="s">
        <v>3901</v>
      </c>
      <c r="F483" s="62" t="s">
        <v>3888</v>
      </c>
      <c r="G483" s="56" t="s">
        <v>28</v>
      </c>
      <c r="H483" s="26" t="s">
        <v>60</v>
      </c>
      <c r="I483" s="53" t="s">
        <v>19</v>
      </c>
      <c r="J483" s="53">
        <v>193.26</v>
      </c>
      <c r="K483" s="53">
        <v>56.741900000000001</v>
      </c>
      <c r="L483" s="59">
        <f t="shared" si="51"/>
        <v>3.4059486904738825</v>
      </c>
      <c r="M483" s="53">
        <v>48</v>
      </c>
      <c r="N483" s="57">
        <f t="shared" si="60"/>
        <v>4.0262500000000001</v>
      </c>
      <c r="O483" s="38">
        <f t="shared" ca="1" si="59"/>
        <v>43</v>
      </c>
      <c r="P483" s="36">
        <f t="shared" ca="1" si="61"/>
        <v>20.131249999999994</v>
      </c>
      <c r="Q483" s="36">
        <f t="shared" ca="1" si="58"/>
        <v>20.131249999999994</v>
      </c>
      <c r="R483" s="535" t="s">
        <v>3869</v>
      </c>
    </row>
    <row r="484" spans="2:18" s="4" customFormat="1" ht="107.25" customHeight="1" x14ac:dyDescent="0.25">
      <c r="B484" s="24">
        <v>44551</v>
      </c>
      <c r="C484" s="24" t="s">
        <v>2349</v>
      </c>
      <c r="D484" s="53" t="s">
        <v>3866</v>
      </c>
      <c r="E484" s="26" t="s">
        <v>5626</v>
      </c>
      <c r="F484" s="62" t="s">
        <v>3888</v>
      </c>
      <c r="G484" s="56" t="s">
        <v>28</v>
      </c>
      <c r="H484" s="26" t="s">
        <v>60</v>
      </c>
      <c r="I484" s="53" t="s">
        <v>19</v>
      </c>
      <c r="J484" s="53">
        <v>193.26</v>
      </c>
      <c r="K484" s="53">
        <v>56.741900000000001</v>
      </c>
      <c r="L484" s="59">
        <f t="shared" si="51"/>
        <v>3.4059486904738825</v>
      </c>
      <c r="M484" s="53">
        <v>48</v>
      </c>
      <c r="N484" s="57">
        <f t="shared" si="60"/>
        <v>4.0262500000000001</v>
      </c>
      <c r="O484" s="38">
        <f t="shared" ca="1" si="59"/>
        <v>43</v>
      </c>
      <c r="P484" s="36">
        <f t="shared" ca="1" si="61"/>
        <v>20.131249999999994</v>
      </c>
      <c r="Q484" s="36">
        <f t="shared" ca="1" si="58"/>
        <v>20.131249999999994</v>
      </c>
      <c r="R484" s="535" t="s">
        <v>3869</v>
      </c>
    </row>
    <row r="485" spans="2:18" s="4" customFormat="1" ht="107.25" customHeight="1" x14ac:dyDescent="0.25">
      <c r="B485" s="24">
        <v>44551</v>
      </c>
      <c r="C485" s="24" t="s">
        <v>2349</v>
      </c>
      <c r="D485" s="53" t="s">
        <v>3866</v>
      </c>
      <c r="E485" s="26" t="s">
        <v>3902</v>
      </c>
      <c r="F485" s="62" t="s">
        <v>3888</v>
      </c>
      <c r="G485" s="56" t="s">
        <v>28</v>
      </c>
      <c r="H485" s="26" t="s">
        <v>60</v>
      </c>
      <c r="I485" s="53" t="s">
        <v>19</v>
      </c>
      <c r="J485" s="53">
        <v>193.26</v>
      </c>
      <c r="K485" s="53">
        <v>56.741900000000001</v>
      </c>
      <c r="L485" s="59">
        <f t="shared" si="51"/>
        <v>3.4059486904738825</v>
      </c>
      <c r="M485" s="53">
        <v>48</v>
      </c>
      <c r="N485" s="57">
        <f t="shared" si="60"/>
        <v>4.0262500000000001</v>
      </c>
      <c r="O485" s="38">
        <f t="shared" ca="1" si="59"/>
        <v>43</v>
      </c>
      <c r="P485" s="36">
        <f t="shared" ca="1" si="61"/>
        <v>20.131249999999994</v>
      </c>
      <c r="Q485" s="36">
        <f t="shared" ca="1" si="58"/>
        <v>20.131249999999994</v>
      </c>
      <c r="R485" s="535" t="s">
        <v>3869</v>
      </c>
    </row>
    <row r="486" spans="2:18" s="4" customFormat="1" ht="107.25" customHeight="1" x14ac:dyDescent="0.25">
      <c r="B486" s="24">
        <v>44551</v>
      </c>
      <c r="C486" s="24" t="s">
        <v>2349</v>
      </c>
      <c r="D486" s="53" t="s">
        <v>3866</v>
      </c>
      <c r="E486" s="26" t="s">
        <v>3903</v>
      </c>
      <c r="F486" s="62" t="s">
        <v>3888</v>
      </c>
      <c r="G486" s="56" t="s">
        <v>28</v>
      </c>
      <c r="H486" s="26" t="s">
        <v>60</v>
      </c>
      <c r="I486" s="53" t="s">
        <v>19</v>
      </c>
      <c r="J486" s="53">
        <v>193.26</v>
      </c>
      <c r="K486" s="53">
        <v>56.741900000000001</v>
      </c>
      <c r="L486" s="59">
        <f t="shared" si="51"/>
        <v>3.4059486904738825</v>
      </c>
      <c r="M486" s="53">
        <v>48</v>
      </c>
      <c r="N486" s="57">
        <f t="shared" si="60"/>
        <v>4.0262500000000001</v>
      </c>
      <c r="O486" s="38">
        <f t="shared" ca="1" si="59"/>
        <v>43</v>
      </c>
      <c r="P486" s="36">
        <f t="shared" ca="1" si="61"/>
        <v>20.131249999999994</v>
      </c>
      <c r="Q486" s="36">
        <f t="shared" ca="1" si="58"/>
        <v>20.131249999999994</v>
      </c>
      <c r="R486" s="535" t="s">
        <v>3869</v>
      </c>
    </row>
    <row r="487" spans="2:18" s="4" customFormat="1" ht="107.25" customHeight="1" x14ac:dyDescent="0.25">
      <c r="B487" s="24">
        <v>44551</v>
      </c>
      <c r="C487" s="24" t="s">
        <v>2349</v>
      </c>
      <c r="D487" s="53" t="s">
        <v>3866</v>
      </c>
      <c r="E487" s="26" t="s">
        <v>3904</v>
      </c>
      <c r="F487" s="62" t="s">
        <v>3888</v>
      </c>
      <c r="G487" s="56" t="s">
        <v>28</v>
      </c>
      <c r="H487" s="26" t="s">
        <v>60</v>
      </c>
      <c r="I487" s="53" t="s">
        <v>19</v>
      </c>
      <c r="J487" s="53">
        <v>193.26</v>
      </c>
      <c r="K487" s="53">
        <v>56.741900000000001</v>
      </c>
      <c r="L487" s="59">
        <f t="shared" si="51"/>
        <v>3.4059486904738825</v>
      </c>
      <c r="M487" s="53">
        <v>48</v>
      </c>
      <c r="N487" s="57">
        <f t="shared" si="60"/>
        <v>4.0262500000000001</v>
      </c>
      <c r="O487" s="38">
        <f t="shared" ca="1" si="59"/>
        <v>43</v>
      </c>
      <c r="P487" s="36">
        <f t="shared" ca="1" si="61"/>
        <v>20.131249999999994</v>
      </c>
      <c r="Q487" s="36">
        <f t="shared" ca="1" si="58"/>
        <v>20.131249999999994</v>
      </c>
      <c r="R487" s="535" t="s">
        <v>3869</v>
      </c>
    </row>
    <row r="488" spans="2:18" s="4" customFormat="1" ht="107.25" customHeight="1" x14ac:dyDescent="0.25">
      <c r="B488" s="24">
        <v>44551</v>
      </c>
      <c r="C488" s="24" t="s">
        <v>2349</v>
      </c>
      <c r="D488" s="53" t="s">
        <v>3866</v>
      </c>
      <c r="E488" s="26" t="s">
        <v>3905</v>
      </c>
      <c r="F488" s="62" t="s">
        <v>3888</v>
      </c>
      <c r="G488" s="56" t="s">
        <v>28</v>
      </c>
      <c r="H488" s="26" t="s">
        <v>60</v>
      </c>
      <c r="I488" s="53" t="s">
        <v>19</v>
      </c>
      <c r="J488" s="53">
        <v>193.26</v>
      </c>
      <c r="K488" s="53">
        <v>56.741900000000001</v>
      </c>
      <c r="L488" s="59">
        <f t="shared" si="51"/>
        <v>3.4059486904738825</v>
      </c>
      <c r="M488" s="53">
        <v>48</v>
      </c>
      <c r="N488" s="57">
        <f t="shared" si="60"/>
        <v>4.0262500000000001</v>
      </c>
      <c r="O488" s="38">
        <f t="shared" ca="1" si="59"/>
        <v>43</v>
      </c>
      <c r="P488" s="36">
        <f t="shared" ca="1" si="61"/>
        <v>20.131249999999994</v>
      </c>
      <c r="Q488" s="36">
        <f t="shared" ca="1" si="58"/>
        <v>20.131249999999994</v>
      </c>
      <c r="R488" s="535" t="s">
        <v>3869</v>
      </c>
    </row>
    <row r="489" spans="2:18" s="4" customFormat="1" ht="107.25" customHeight="1" x14ac:dyDescent="0.25">
      <c r="B489" s="24">
        <v>44551</v>
      </c>
      <c r="C489" s="24" t="s">
        <v>2349</v>
      </c>
      <c r="D489" s="53" t="s">
        <v>3866</v>
      </c>
      <c r="E489" s="26" t="s">
        <v>3906</v>
      </c>
      <c r="F489" s="62" t="s">
        <v>3888</v>
      </c>
      <c r="G489" s="56" t="s">
        <v>28</v>
      </c>
      <c r="H489" s="26" t="s">
        <v>60</v>
      </c>
      <c r="I489" s="53" t="s">
        <v>19</v>
      </c>
      <c r="J489" s="53">
        <v>193.26</v>
      </c>
      <c r="K489" s="53">
        <v>56.741900000000001</v>
      </c>
      <c r="L489" s="59">
        <f t="shared" si="51"/>
        <v>3.4059486904738825</v>
      </c>
      <c r="M489" s="53">
        <v>48</v>
      </c>
      <c r="N489" s="57">
        <f t="shared" si="60"/>
        <v>4.0262500000000001</v>
      </c>
      <c r="O489" s="38">
        <f t="shared" ca="1" si="59"/>
        <v>43</v>
      </c>
      <c r="P489" s="36">
        <f t="shared" ca="1" si="61"/>
        <v>20.131249999999994</v>
      </c>
      <c r="Q489" s="36">
        <f t="shared" ca="1" si="58"/>
        <v>20.131249999999994</v>
      </c>
      <c r="R489" s="535" t="s">
        <v>3869</v>
      </c>
    </row>
    <row r="490" spans="2:18" s="4" customFormat="1" ht="107.25" customHeight="1" x14ac:dyDescent="0.25">
      <c r="B490" s="24">
        <v>44551</v>
      </c>
      <c r="C490" s="24" t="s">
        <v>2349</v>
      </c>
      <c r="D490" s="53" t="s">
        <v>3866</v>
      </c>
      <c r="E490" s="26" t="s">
        <v>3907</v>
      </c>
      <c r="F490" s="62" t="s">
        <v>3908</v>
      </c>
      <c r="G490" s="56" t="s">
        <v>28</v>
      </c>
      <c r="H490" s="26" t="s">
        <v>60</v>
      </c>
      <c r="I490" s="53" t="s">
        <v>19</v>
      </c>
      <c r="J490" s="53">
        <v>311.63</v>
      </c>
      <c r="K490" s="53">
        <v>56.741900000000001</v>
      </c>
      <c r="L490" s="59">
        <f t="shared" si="51"/>
        <v>5.4920614219826973</v>
      </c>
      <c r="M490" s="53">
        <v>48</v>
      </c>
      <c r="N490" s="57">
        <f t="shared" si="60"/>
        <v>6.4922916666666666</v>
      </c>
      <c r="O490" s="38">
        <f t="shared" ca="1" si="59"/>
        <v>43</v>
      </c>
      <c r="P490" s="36">
        <f t="shared" ca="1" si="61"/>
        <v>32.461458333333326</v>
      </c>
      <c r="Q490" s="36">
        <f t="shared" ca="1" si="58"/>
        <v>32.461458333333326</v>
      </c>
      <c r="R490" s="535" t="s">
        <v>3869</v>
      </c>
    </row>
    <row r="491" spans="2:18" s="4" customFormat="1" ht="107.25" customHeight="1" x14ac:dyDescent="0.25">
      <c r="B491" s="24">
        <v>44551</v>
      </c>
      <c r="C491" s="24" t="s">
        <v>2349</v>
      </c>
      <c r="D491" s="53" t="s">
        <v>3866</v>
      </c>
      <c r="E491" s="26" t="s">
        <v>3909</v>
      </c>
      <c r="F491" s="62" t="s">
        <v>3908</v>
      </c>
      <c r="G491" s="56" t="s">
        <v>28</v>
      </c>
      <c r="H491" s="26" t="s">
        <v>60</v>
      </c>
      <c r="I491" s="53" t="s">
        <v>19</v>
      </c>
      <c r="J491" s="53">
        <v>311.58</v>
      </c>
      <c r="K491" s="53">
        <v>56.741900000000001</v>
      </c>
      <c r="L491" s="59">
        <f t="shared" si="51"/>
        <v>5.4911802389415927</v>
      </c>
      <c r="M491" s="53">
        <v>48</v>
      </c>
      <c r="N491" s="57">
        <f t="shared" si="60"/>
        <v>6.49125</v>
      </c>
      <c r="O491" s="38">
        <f t="shared" ca="1" si="59"/>
        <v>43</v>
      </c>
      <c r="P491" s="36">
        <f t="shared" ca="1" si="61"/>
        <v>32.456250000000011</v>
      </c>
      <c r="Q491" s="36">
        <f t="shared" ca="1" si="58"/>
        <v>32.456250000000011</v>
      </c>
      <c r="R491" s="535" t="s">
        <v>3869</v>
      </c>
    </row>
    <row r="492" spans="2:18" s="4" customFormat="1" ht="107.25" customHeight="1" x14ac:dyDescent="0.25">
      <c r="B492" s="24">
        <v>44551</v>
      </c>
      <c r="C492" s="24" t="s">
        <v>2349</v>
      </c>
      <c r="D492" s="53" t="s">
        <v>3866</v>
      </c>
      <c r="E492" s="26" t="s">
        <v>3910</v>
      </c>
      <c r="F492" s="62" t="s">
        <v>3908</v>
      </c>
      <c r="G492" s="56" t="s">
        <v>28</v>
      </c>
      <c r="H492" s="26" t="s">
        <v>60</v>
      </c>
      <c r="I492" s="53" t="s">
        <v>19</v>
      </c>
      <c r="J492" s="53">
        <v>311.58</v>
      </c>
      <c r="K492" s="53">
        <v>56.741900000000001</v>
      </c>
      <c r="L492" s="59">
        <f t="shared" si="51"/>
        <v>5.4911802389415927</v>
      </c>
      <c r="M492" s="53">
        <v>48</v>
      </c>
      <c r="N492" s="57">
        <f t="shared" si="60"/>
        <v>6.49125</v>
      </c>
      <c r="O492" s="38">
        <f t="shared" ca="1" si="59"/>
        <v>43</v>
      </c>
      <c r="P492" s="36">
        <f t="shared" ca="1" si="61"/>
        <v>32.456250000000011</v>
      </c>
      <c r="Q492" s="36">
        <f t="shared" ca="1" si="58"/>
        <v>32.456250000000011</v>
      </c>
      <c r="R492" s="535" t="s">
        <v>3869</v>
      </c>
    </row>
    <row r="493" spans="2:18" s="4" customFormat="1" ht="107.25" customHeight="1" x14ac:dyDescent="0.25">
      <c r="B493" s="24">
        <v>44551</v>
      </c>
      <c r="C493" s="24" t="s">
        <v>2349</v>
      </c>
      <c r="D493" s="53" t="s">
        <v>3866</v>
      </c>
      <c r="E493" s="26" t="s">
        <v>3911</v>
      </c>
      <c r="F493" s="62" t="s">
        <v>3908</v>
      </c>
      <c r="G493" s="56" t="s">
        <v>28</v>
      </c>
      <c r="H493" s="26" t="s">
        <v>60</v>
      </c>
      <c r="I493" s="53" t="s">
        <v>19</v>
      </c>
      <c r="J493" s="53">
        <v>311.58</v>
      </c>
      <c r="K493" s="53">
        <v>56.741900000000001</v>
      </c>
      <c r="L493" s="59">
        <f t="shared" si="51"/>
        <v>5.4911802389415927</v>
      </c>
      <c r="M493" s="53">
        <v>48</v>
      </c>
      <c r="N493" s="57">
        <f t="shared" si="60"/>
        <v>6.49125</v>
      </c>
      <c r="O493" s="38">
        <f t="shared" ca="1" si="59"/>
        <v>43</v>
      </c>
      <c r="P493" s="36">
        <f t="shared" ca="1" si="61"/>
        <v>32.456250000000011</v>
      </c>
      <c r="Q493" s="36">
        <f t="shared" ca="1" si="58"/>
        <v>32.456250000000011</v>
      </c>
      <c r="R493" s="535" t="s">
        <v>3869</v>
      </c>
    </row>
    <row r="494" spans="2:18" s="4" customFormat="1" ht="107.25" customHeight="1" x14ac:dyDescent="0.25">
      <c r="B494" s="24">
        <v>44551</v>
      </c>
      <c r="C494" s="24" t="s">
        <v>2349</v>
      </c>
      <c r="D494" s="53" t="s">
        <v>3866</v>
      </c>
      <c r="E494" s="26" t="s">
        <v>3912</v>
      </c>
      <c r="F494" s="62" t="s">
        <v>3908</v>
      </c>
      <c r="G494" s="56" t="s">
        <v>28</v>
      </c>
      <c r="H494" s="26" t="s">
        <v>60</v>
      </c>
      <c r="I494" s="53" t="s">
        <v>19</v>
      </c>
      <c r="J494" s="53">
        <v>311.58</v>
      </c>
      <c r="K494" s="53">
        <v>56.741900000000001</v>
      </c>
      <c r="L494" s="59">
        <f t="shared" si="51"/>
        <v>5.4911802389415927</v>
      </c>
      <c r="M494" s="53">
        <v>48</v>
      </c>
      <c r="N494" s="57">
        <f t="shared" si="60"/>
        <v>6.49125</v>
      </c>
      <c r="O494" s="38">
        <f t="shared" ca="1" si="59"/>
        <v>43</v>
      </c>
      <c r="P494" s="36">
        <f t="shared" ca="1" si="61"/>
        <v>32.456250000000011</v>
      </c>
      <c r="Q494" s="36">
        <f t="shared" ca="1" si="58"/>
        <v>32.456250000000011</v>
      </c>
      <c r="R494" s="535" t="s">
        <v>3869</v>
      </c>
    </row>
    <row r="495" spans="2:18" s="4" customFormat="1" ht="107.25" customHeight="1" x14ac:dyDescent="0.25">
      <c r="B495" s="24">
        <v>44551</v>
      </c>
      <c r="C495" s="24" t="s">
        <v>2349</v>
      </c>
      <c r="D495" s="53" t="s">
        <v>3866</v>
      </c>
      <c r="E495" s="26" t="s">
        <v>3913</v>
      </c>
      <c r="F495" s="62" t="s">
        <v>3908</v>
      </c>
      <c r="G495" s="56" t="s">
        <v>28</v>
      </c>
      <c r="H495" s="26" t="s">
        <v>60</v>
      </c>
      <c r="I495" s="53" t="s">
        <v>19</v>
      </c>
      <c r="J495" s="53">
        <v>311.58</v>
      </c>
      <c r="K495" s="53">
        <v>56.741900000000001</v>
      </c>
      <c r="L495" s="59">
        <f t="shared" si="51"/>
        <v>5.4911802389415927</v>
      </c>
      <c r="M495" s="53">
        <v>48</v>
      </c>
      <c r="N495" s="57">
        <f t="shared" si="60"/>
        <v>6.49125</v>
      </c>
      <c r="O495" s="38">
        <f t="shared" ca="1" si="59"/>
        <v>43</v>
      </c>
      <c r="P495" s="36">
        <f t="shared" ca="1" si="61"/>
        <v>32.456250000000011</v>
      </c>
      <c r="Q495" s="36">
        <f t="shared" ca="1" si="58"/>
        <v>32.456250000000011</v>
      </c>
      <c r="R495" s="535" t="s">
        <v>3869</v>
      </c>
    </row>
    <row r="496" spans="2:18" s="4" customFormat="1" ht="107.25" customHeight="1" x14ac:dyDescent="0.25">
      <c r="B496" s="24">
        <v>44551</v>
      </c>
      <c r="C496" s="24" t="s">
        <v>2349</v>
      </c>
      <c r="D496" s="53" t="s">
        <v>3866</v>
      </c>
      <c r="E496" s="26" t="s">
        <v>3914</v>
      </c>
      <c r="F496" s="62" t="s">
        <v>3908</v>
      </c>
      <c r="G496" s="56" t="s">
        <v>28</v>
      </c>
      <c r="H496" s="26" t="s">
        <v>60</v>
      </c>
      <c r="I496" s="53" t="s">
        <v>19</v>
      </c>
      <c r="J496" s="53">
        <v>311.58</v>
      </c>
      <c r="K496" s="53">
        <v>56.741900000000001</v>
      </c>
      <c r="L496" s="59">
        <f t="shared" si="51"/>
        <v>5.4911802389415927</v>
      </c>
      <c r="M496" s="53">
        <v>48</v>
      </c>
      <c r="N496" s="57">
        <f t="shared" si="60"/>
        <v>6.49125</v>
      </c>
      <c r="O496" s="38">
        <f t="shared" ca="1" si="59"/>
        <v>43</v>
      </c>
      <c r="P496" s="36">
        <f t="shared" ca="1" si="61"/>
        <v>32.456250000000011</v>
      </c>
      <c r="Q496" s="36">
        <f t="shared" ca="1" si="58"/>
        <v>32.456250000000011</v>
      </c>
      <c r="R496" s="535" t="s">
        <v>3869</v>
      </c>
    </row>
    <row r="497" spans="2:18" s="4" customFormat="1" ht="107.25" customHeight="1" x14ac:dyDescent="0.25">
      <c r="B497" s="24">
        <v>44551</v>
      </c>
      <c r="C497" s="24" t="s">
        <v>2349</v>
      </c>
      <c r="D497" s="53" t="s">
        <v>3866</v>
      </c>
      <c r="E497" s="26" t="s">
        <v>3915</v>
      </c>
      <c r="F497" s="62" t="s">
        <v>3908</v>
      </c>
      <c r="G497" s="56" t="s">
        <v>28</v>
      </c>
      <c r="H497" s="26" t="s">
        <v>60</v>
      </c>
      <c r="I497" s="53" t="s">
        <v>19</v>
      </c>
      <c r="J497" s="53">
        <v>311.58</v>
      </c>
      <c r="K497" s="53">
        <v>56.741900000000001</v>
      </c>
      <c r="L497" s="59">
        <f t="shared" si="51"/>
        <v>5.4911802389415927</v>
      </c>
      <c r="M497" s="53">
        <v>48</v>
      </c>
      <c r="N497" s="57">
        <f t="shared" si="60"/>
        <v>6.49125</v>
      </c>
      <c r="O497" s="38">
        <f t="shared" ca="1" si="59"/>
        <v>43</v>
      </c>
      <c r="P497" s="36">
        <f t="shared" ca="1" si="61"/>
        <v>32.456250000000011</v>
      </c>
      <c r="Q497" s="36">
        <f t="shared" ca="1" si="58"/>
        <v>32.456250000000011</v>
      </c>
      <c r="R497" s="535" t="s">
        <v>3869</v>
      </c>
    </row>
    <row r="498" spans="2:18" s="4" customFormat="1" ht="107.25" customHeight="1" x14ac:dyDescent="0.25">
      <c r="B498" s="24">
        <v>44551</v>
      </c>
      <c r="C498" s="24" t="s">
        <v>2349</v>
      </c>
      <c r="D498" s="53" t="s">
        <v>3866</v>
      </c>
      <c r="E498" s="26" t="s">
        <v>3916</v>
      </c>
      <c r="F498" s="62" t="s">
        <v>3908</v>
      </c>
      <c r="G498" s="56" t="s">
        <v>28</v>
      </c>
      <c r="H498" s="26" t="s">
        <v>60</v>
      </c>
      <c r="I498" s="53" t="s">
        <v>19</v>
      </c>
      <c r="J498" s="53">
        <v>311.58</v>
      </c>
      <c r="K498" s="53">
        <v>56.741900000000001</v>
      </c>
      <c r="L498" s="59">
        <f t="shared" si="51"/>
        <v>5.4911802389415927</v>
      </c>
      <c r="M498" s="53">
        <v>48</v>
      </c>
      <c r="N498" s="57">
        <f t="shared" si="60"/>
        <v>6.49125</v>
      </c>
      <c r="O498" s="38">
        <f t="shared" ca="1" si="59"/>
        <v>43</v>
      </c>
      <c r="P498" s="36">
        <f t="shared" ca="1" si="61"/>
        <v>32.456250000000011</v>
      </c>
      <c r="Q498" s="36">
        <f t="shared" ca="1" si="58"/>
        <v>32.456250000000011</v>
      </c>
      <c r="R498" s="535" t="s">
        <v>3869</v>
      </c>
    </row>
    <row r="499" spans="2:18" s="4" customFormat="1" ht="107.25" customHeight="1" x14ac:dyDescent="0.25">
      <c r="B499" s="24">
        <v>44551</v>
      </c>
      <c r="C499" s="24" t="s">
        <v>2349</v>
      </c>
      <c r="D499" s="53" t="s">
        <v>3866</v>
      </c>
      <c r="E499" s="26" t="s">
        <v>3917</v>
      </c>
      <c r="F499" s="62" t="s">
        <v>3908</v>
      </c>
      <c r="G499" s="56" t="s">
        <v>28</v>
      </c>
      <c r="H499" s="26" t="s">
        <v>60</v>
      </c>
      <c r="I499" s="53" t="s">
        <v>19</v>
      </c>
      <c r="J499" s="53">
        <v>311.58</v>
      </c>
      <c r="K499" s="53">
        <v>56.741900000000001</v>
      </c>
      <c r="L499" s="59">
        <f t="shared" si="51"/>
        <v>5.4911802389415927</v>
      </c>
      <c r="M499" s="53">
        <v>48</v>
      </c>
      <c r="N499" s="57">
        <f t="shared" si="60"/>
        <v>6.49125</v>
      </c>
      <c r="O499" s="38">
        <f t="shared" ca="1" si="59"/>
        <v>43</v>
      </c>
      <c r="P499" s="36">
        <f t="shared" ca="1" si="61"/>
        <v>32.456250000000011</v>
      </c>
      <c r="Q499" s="36">
        <f t="shared" ca="1" si="58"/>
        <v>32.456250000000011</v>
      </c>
      <c r="R499" s="535" t="s">
        <v>3869</v>
      </c>
    </row>
    <row r="500" spans="2:18" s="4" customFormat="1" ht="107.25" customHeight="1" x14ac:dyDescent="0.25">
      <c r="B500" s="24">
        <v>44551</v>
      </c>
      <c r="C500" s="24" t="s">
        <v>2349</v>
      </c>
      <c r="D500" s="53" t="s">
        <v>3866</v>
      </c>
      <c r="E500" s="26" t="s">
        <v>3918</v>
      </c>
      <c r="F500" s="62" t="s">
        <v>3908</v>
      </c>
      <c r="G500" s="56" t="s">
        <v>28</v>
      </c>
      <c r="H500" s="26" t="s">
        <v>60</v>
      </c>
      <c r="I500" s="53" t="s">
        <v>19</v>
      </c>
      <c r="J500" s="53">
        <v>311.58</v>
      </c>
      <c r="K500" s="53">
        <v>56.741900000000001</v>
      </c>
      <c r="L500" s="59">
        <f t="shared" si="51"/>
        <v>5.4911802389415927</v>
      </c>
      <c r="M500" s="53">
        <v>48</v>
      </c>
      <c r="N500" s="57">
        <f t="shared" si="60"/>
        <v>6.49125</v>
      </c>
      <c r="O500" s="38">
        <f t="shared" ca="1" si="59"/>
        <v>43</v>
      </c>
      <c r="P500" s="36">
        <f t="shared" ca="1" si="61"/>
        <v>32.456250000000011</v>
      </c>
      <c r="Q500" s="36">
        <f t="shared" ca="1" si="58"/>
        <v>32.456250000000011</v>
      </c>
      <c r="R500" s="535" t="s">
        <v>3869</v>
      </c>
    </row>
    <row r="501" spans="2:18" s="4" customFormat="1" ht="107.25" customHeight="1" x14ac:dyDescent="0.25">
      <c r="B501" s="24">
        <v>44551</v>
      </c>
      <c r="C501" s="24" t="s">
        <v>2349</v>
      </c>
      <c r="D501" s="53" t="s">
        <v>3866</v>
      </c>
      <c r="E501" s="26" t="s">
        <v>3919</v>
      </c>
      <c r="F501" s="62" t="s">
        <v>3908</v>
      </c>
      <c r="G501" s="56" t="s">
        <v>28</v>
      </c>
      <c r="H501" s="26" t="s">
        <v>60</v>
      </c>
      <c r="I501" s="53" t="s">
        <v>19</v>
      </c>
      <c r="J501" s="53">
        <v>311.58</v>
      </c>
      <c r="K501" s="53">
        <v>56.741900000000001</v>
      </c>
      <c r="L501" s="59">
        <f t="shared" si="51"/>
        <v>5.4911802389415927</v>
      </c>
      <c r="M501" s="53">
        <v>48</v>
      </c>
      <c r="N501" s="57">
        <f t="shared" si="60"/>
        <v>6.49125</v>
      </c>
      <c r="O501" s="38">
        <f t="shared" ca="1" si="59"/>
        <v>43</v>
      </c>
      <c r="P501" s="36">
        <f t="shared" ca="1" si="61"/>
        <v>32.456250000000011</v>
      </c>
      <c r="Q501" s="36">
        <f t="shared" ca="1" si="58"/>
        <v>32.456250000000011</v>
      </c>
      <c r="R501" s="535" t="s">
        <v>3869</v>
      </c>
    </row>
    <row r="502" spans="2:18" s="4" customFormat="1" ht="107.25" customHeight="1" x14ac:dyDescent="0.25">
      <c r="B502" s="24">
        <v>44551</v>
      </c>
      <c r="C502" s="24" t="s">
        <v>2349</v>
      </c>
      <c r="D502" s="53" t="s">
        <v>3866</v>
      </c>
      <c r="E502" s="26" t="s">
        <v>3920</v>
      </c>
      <c r="F502" s="62" t="s">
        <v>3908</v>
      </c>
      <c r="G502" s="56" t="s">
        <v>28</v>
      </c>
      <c r="H502" s="26" t="s">
        <v>60</v>
      </c>
      <c r="I502" s="53" t="s">
        <v>19</v>
      </c>
      <c r="J502" s="53">
        <v>311.58</v>
      </c>
      <c r="K502" s="53">
        <v>56.741900000000001</v>
      </c>
      <c r="L502" s="59">
        <f t="shared" si="51"/>
        <v>5.4911802389415927</v>
      </c>
      <c r="M502" s="53">
        <v>48</v>
      </c>
      <c r="N502" s="57">
        <f t="shared" si="60"/>
        <v>6.49125</v>
      </c>
      <c r="O502" s="38">
        <f t="shared" ca="1" si="59"/>
        <v>43</v>
      </c>
      <c r="P502" s="36">
        <f t="shared" ca="1" si="61"/>
        <v>32.456250000000011</v>
      </c>
      <c r="Q502" s="36">
        <f t="shared" ca="1" si="58"/>
        <v>32.456250000000011</v>
      </c>
      <c r="R502" s="535" t="s">
        <v>3869</v>
      </c>
    </row>
    <row r="503" spans="2:18" s="4" customFormat="1" ht="107.25" customHeight="1" x14ac:dyDescent="0.25">
      <c r="B503" s="24">
        <v>44551</v>
      </c>
      <c r="C503" s="24" t="s">
        <v>2349</v>
      </c>
      <c r="D503" s="53" t="s">
        <v>3866</v>
      </c>
      <c r="E503" s="26" t="s">
        <v>3921</v>
      </c>
      <c r="F503" s="62" t="s">
        <v>3908</v>
      </c>
      <c r="G503" s="56" t="s">
        <v>28</v>
      </c>
      <c r="H503" s="26" t="s">
        <v>60</v>
      </c>
      <c r="I503" s="53" t="s">
        <v>19</v>
      </c>
      <c r="J503" s="53">
        <v>311.58</v>
      </c>
      <c r="K503" s="53">
        <v>56.741900000000001</v>
      </c>
      <c r="L503" s="59">
        <f t="shared" si="51"/>
        <v>5.4911802389415927</v>
      </c>
      <c r="M503" s="53">
        <v>48</v>
      </c>
      <c r="N503" s="57">
        <f t="shared" si="60"/>
        <v>6.49125</v>
      </c>
      <c r="O503" s="38">
        <f t="shared" ca="1" si="59"/>
        <v>43</v>
      </c>
      <c r="P503" s="36">
        <f t="shared" ca="1" si="61"/>
        <v>32.456250000000011</v>
      </c>
      <c r="Q503" s="36">
        <f t="shared" ca="1" si="58"/>
        <v>32.456250000000011</v>
      </c>
      <c r="R503" s="535" t="s">
        <v>3869</v>
      </c>
    </row>
    <row r="504" spans="2:18" s="4" customFormat="1" ht="107.25" customHeight="1" x14ac:dyDescent="0.25">
      <c r="B504" s="24">
        <v>44551</v>
      </c>
      <c r="C504" s="24" t="s">
        <v>2349</v>
      </c>
      <c r="D504" s="53" t="s">
        <v>3866</v>
      </c>
      <c r="E504" s="26" t="s">
        <v>3922</v>
      </c>
      <c r="F504" s="62" t="s">
        <v>3908</v>
      </c>
      <c r="G504" s="56" t="s">
        <v>28</v>
      </c>
      <c r="H504" s="26" t="s">
        <v>60</v>
      </c>
      <c r="I504" s="53" t="s">
        <v>19</v>
      </c>
      <c r="J504" s="53">
        <v>311.58</v>
      </c>
      <c r="K504" s="53">
        <v>56.741900000000001</v>
      </c>
      <c r="L504" s="59">
        <f t="shared" si="51"/>
        <v>5.4911802389415927</v>
      </c>
      <c r="M504" s="53">
        <v>48</v>
      </c>
      <c r="N504" s="57">
        <f t="shared" si="60"/>
        <v>6.49125</v>
      </c>
      <c r="O504" s="38">
        <f t="shared" ca="1" si="59"/>
        <v>43</v>
      </c>
      <c r="P504" s="36">
        <f t="shared" ca="1" si="61"/>
        <v>32.456250000000011</v>
      </c>
      <c r="Q504" s="36">
        <f t="shared" ca="1" si="58"/>
        <v>32.456250000000011</v>
      </c>
      <c r="R504" s="535" t="s">
        <v>3869</v>
      </c>
    </row>
    <row r="505" spans="2:18" s="4" customFormat="1" ht="107.25" customHeight="1" x14ac:dyDescent="0.25">
      <c r="B505" s="24">
        <v>44551</v>
      </c>
      <c r="C505" s="24" t="s">
        <v>2349</v>
      </c>
      <c r="D505" s="53" t="s">
        <v>3866</v>
      </c>
      <c r="E505" s="26" t="s">
        <v>3923</v>
      </c>
      <c r="F505" s="62" t="s">
        <v>3908</v>
      </c>
      <c r="G505" s="56" t="s">
        <v>28</v>
      </c>
      <c r="H505" s="26" t="s">
        <v>60</v>
      </c>
      <c r="I505" s="53" t="s">
        <v>19</v>
      </c>
      <c r="J505" s="53">
        <v>311.58</v>
      </c>
      <c r="K505" s="53">
        <v>56.741900000000001</v>
      </c>
      <c r="L505" s="59">
        <f t="shared" si="51"/>
        <v>5.4911802389415927</v>
      </c>
      <c r="M505" s="53">
        <v>48</v>
      </c>
      <c r="N505" s="57">
        <f t="shared" si="60"/>
        <v>6.49125</v>
      </c>
      <c r="O505" s="38">
        <f t="shared" ca="1" si="59"/>
        <v>43</v>
      </c>
      <c r="P505" s="36">
        <f t="shared" ca="1" si="61"/>
        <v>32.456250000000011</v>
      </c>
      <c r="Q505" s="36">
        <f t="shared" ca="1" si="58"/>
        <v>32.456250000000011</v>
      </c>
      <c r="R505" s="535" t="s">
        <v>3869</v>
      </c>
    </row>
    <row r="506" spans="2:18" s="4" customFormat="1" ht="107.25" customHeight="1" x14ac:dyDescent="0.25">
      <c r="B506" s="24">
        <v>44551</v>
      </c>
      <c r="C506" s="24" t="s">
        <v>2349</v>
      </c>
      <c r="D506" s="53" t="s">
        <v>3866</v>
      </c>
      <c r="E506" s="26" t="s">
        <v>3924</v>
      </c>
      <c r="F506" s="62" t="s">
        <v>3908</v>
      </c>
      <c r="G506" s="56" t="s">
        <v>28</v>
      </c>
      <c r="H506" s="26" t="s">
        <v>60</v>
      </c>
      <c r="I506" s="53" t="s">
        <v>19</v>
      </c>
      <c r="J506" s="53">
        <v>311.58</v>
      </c>
      <c r="K506" s="53">
        <v>56.741900000000001</v>
      </c>
      <c r="L506" s="59">
        <f t="shared" si="51"/>
        <v>5.4911802389415927</v>
      </c>
      <c r="M506" s="53">
        <v>48</v>
      </c>
      <c r="N506" s="57">
        <f t="shared" si="60"/>
        <v>6.49125</v>
      </c>
      <c r="O506" s="38">
        <f t="shared" ca="1" si="59"/>
        <v>43</v>
      </c>
      <c r="P506" s="36">
        <f t="shared" ca="1" si="61"/>
        <v>32.456250000000011</v>
      </c>
      <c r="Q506" s="36">
        <f t="shared" ref="Q506:Q668" ca="1" si="62">IF(P506&lt;1,1,P506)</f>
        <v>32.456250000000011</v>
      </c>
      <c r="R506" s="535" t="s">
        <v>3869</v>
      </c>
    </row>
    <row r="507" spans="2:18" s="4" customFormat="1" ht="107.25" customHeight="1" x14ac:dyDescent="0.25">
      <c r="B507" s="24">
        <v>44551</v>
      </c>
      <c r="C507" s="24" t="s">
        <v>2349</v>
      </c>
      <c r="D507" s="53" t="s">
        <v>3866</v>
      </c>
      <c r="E507" s="26" t="s">
        <v>3925</v>
      </c>
      <c r="F507" s="62" t="s">
        <v>3908</v>
      </c>
      <c r="G507" s="56" t="s">
        <v>28</v>
      </c>
      <c r="H507" s="26" t="s">
        <v>60</v>
      </c>
      <c r="I507" s="53" t="s">
        <v>19</v>
      </c>
      <c r="J507" s="53">
        <v>311.58</v>
      </c>
      <c r="K507" s="53">
        <v>56.741900000000001</v>
      </c>
      <c r="L507" s="59">
        <f t="shared" si="51"/>
        <v>5.4911802389415927</v>
      </c>
      <c r="M507" s="53">
        <v>48</v>
      </c>
      <c r="N507" s="57">
        <f t="shared" si="60"/>
        <v>6.49125</v>
      </c>
      <c r="O507" s="38">
        <f t="shared" ca="1" si="59"/>
        <v>43</v>
      </c>
      <c r="P507" s="36">
        <f t="shared" ca="1" si="61"/>
        <v>32.456250000000011</v>
      </c>
      <c r="Q507" s="36">
        <f t="shared" ca="1" si="62"/>
        <v>32.456250000000011</v>
      </c>
      <c r="R507" s="535" t="s">
        <v>3869</v>
      </c>
    </row>
    <row r="508" spans="2:18" s="4" customFormat="1" ht="107.25" customHeight="1" x14ac:dyDescent="0.25">
      <c r="B508" s="24">
        <v>44551</v>
      </c>
      <c r="C508" s="24" t="s">
        <v>2349</v>
      </c>
      <c r="D508" s="53" t="s">
        <v>3866</v>
      </c>
      <c r="E508" s="26" t="s">
        <v>3926</v>
      </c>
      <c r="F508" s="62" t="s">
        <v>3908</v>
      </c>
      <c r="G508" s="56" t="s">
        <v>28</v>
      </c>
      <c r="H508" s="26" t="s">
        <v>60</v>
      </c>
      <c r="I508" s="53" t="s">
        <v>19</v>
      </c>
      <c r="J508" s="53">
        <v>311.58</v>
      </c>
      <c r="K508" s="53">
        <v>56.741900000000001</v>
      </c>
      <c r="L508" s="59">
        <f t="shared" si="51"/>
        <v>5.4911802389415927</v>
      </c>
      <c r="M508" s="53">
        <v>48</v>
      </c>
      <c r="N508" s="57">
        <f t="shared" si="60"/>
        <v>6.49125</v>
      </c>
      <c r="O508" s="38">
        <f t="shared" ca="1" si="59"/>
        <v>43</v>
      </c>
      <c r="P508" s="36">
        <f t="shared" ca="1" si="61"/>
        <v>32.456250000000011</v>
      </c>
      <c r="Q508" s="36">
        <f t="shared" ca="1" si="62"/>
        <v>32.456250000000011</v>
      </c>
      <c r="R508" s="535" t="s">
        <v>3869</v>
      </c>
    </row>
    <row r="509" spans="2:18" s="4" customFormat="1" ht="107.25" customHeight="1" x14ac:dyDescent="0.25">
      <c r="B509" s="24">
        <v>44551</v>
      </c>
      <c r="C509" s="24" t="s">
        <v>2349</v>
      </c>
      <c r="D509" s="53" t="s">
        <v>3866</v>
      </c>
      <c r="E509" s="26" t="s">
        <v>3927</v>
      </c>
      <c r="F509" s="62" t="s">
        <v>3908</v>
      </c>
      <c r="G509" s="56" t="s">
        <v>28</v>
      </c>
      <c r="H509" s="26" t="s">
        <v>60</v>
      </c>
      <c r="I509" s="53" t="s">
        <v>19</v>
      </c>
      <c r="J509" s="53">
        <v>311.58</v>
      </c>
      <c r="K509" s="53">
        <v>56.741900000000001</v>
      </c>
      <c r="L509" s="59">
        <f t="shared" si="51"/>
        <v>5.4911802389415927</v>
      </c>
      <c r="M509" s="53">
        <v>48</v>
      </c>
      <c r="N509" s="57">
        <f t="shared" si="60"/>
        <v>6.49125</v>
      </c>
      <c r="O509" s="38">
        <f t="shared" ca="1" si="59"/>
        <v>43</v>
      </c>
      <c r="P509" s="36">
        <f t="shared" ca="1" si="61"/>
        <v>32.456250000000011</v>
      </c>
      <c r="Q509" s="36">
        <f t="shared" ca="1" si="62"/>
        <v>32.456250000000011</v>
      </c>
      <c r="R509" s="535" t="s">
        <v>3869</v>
      </c>
    </row>
    <row r="510" spans="2:18" s="4" customFormat="1" ht="107.25" customHeight="1" x14ac:dyDescent="0.25">
      <c r="B510" s="24">
        <v>44551</v>
      </c>
      <c r="C510" s="24" t="s">
        <v>2349</v>
      </c>
      <c r="D510" s="53" t="s">
        <v>3866</v>
      </c>
      <c r="E510" s="26" t="s">
        <v>3928</v>
      </c>
      <c r="F510" s="53" t="s">
        <v>3929</v>
      </c>
      <c r="G510" s="56" t="s">
        <v>28</v>
      </c>
      <c r="H510" s="26" t="s">
        <v>60</v>
      </c>
      <c r="I510" s="53" t="s">
        <v>19</v>
      </c>
      <c r="J510" s="53">
        <v>14860.61</v>
      </c>
      <c r="K510" s="53">
        <v>56.741900000000001</v>
      </c>
      <c r="L510" s="59">
        <f t="shared" si="51"/>
        <v>261.89835024911048</v>
      </c>
      <c r="M510" s="53">
        <v>48</v>
      </c>
      <c r="N510" s="57">
        <f t="shared" si="60"/>
        <v>309.59604166666668</v>
      </c>
      <c r="O510" s="38">
        <f t="shared" ca="1" si="59"/>
        <v>43</v>
      </c>
      <c r="P510" s="36">
        <f t="shared" ca="1" si="61"/>
        <v>1547.9802083333343</v>
      </c>
      <c r="Q510" s="36">
        <f t="shared" ca="1" si="62"/>
        <v>1547.9802083333343</v>
      </c>
      <c r="R510" s="535" t="s">
        <v>3869</v>
      </c>
    </row>
    <row r="511" spans="2:18" s="4" customFormat="1" ht="107.25" customHeight="1" x14ac:dyDescent="0.25">
      <c r="B511" s="24">
        <v>44551</v>
      </c>
      <c r="C511" s="24" t="s">
        <v>2349</v>
      </c>
      <c r="D511" s="53" t="s">
        <v>3866</v>
      </c>
      <c r="E511" s="26" t="s">
        <v>3930</v>
      </c>
      <c r="F511" s="53" t="s">
        <v>3929</v>
      </c>
      <c r="G511" s="56" t="s">
        <v>28</v>
      </c>
      <c r="H511" s="26" t="s">
        <v>60</v>
      </c>
      <c r="I511" s="53" t="s">
        <v>19</v>
      </c>
      <c r="J511" s="53">
        <v>14860.59</v>
      </c>
      <c r="K511" s="53">
        <v>56.741900000000001</v>
      </c>
      <c r="L511" s="59">
        <f t="shared" si="51"/>
        <v>261.897997775894</v>
      </c>
      <c r="M511" s="53">
        <v>48</v>
      </c>
      <c r="N511" s="57">
        <f t="shared" si="60"/>
        <v>309.59562499999998</v>
      </c>
      <c r="O511" s="38">
        <f t="shared" ca="1" si="59"/>
        <v>43</v>
      </c>
      <c r="P511" s="36">
        <f t="shared" ca="1" si="61"/>
        <v>1547.9781250000015</v>
      </c>
      <c r="Q511" s="36">
        <f t="shared" ca="1" si="62"/>
        <v>1547.9781250000015</v>
      </c>
      <c r="R511" s="535" t="s">
        <v>3869</v>
      </c>
    </row>
    <row r="512" spans="2:18" s="4" customFormat="1" ht="107.25" customHeight="1" x14ac:dyDescent="0.25">
      <c r="B512" s="24">
        <v>44551</v>
      </c>
      <c r="C512" s="24" t="s">
        <v>2349</v>
      </c>
      <c r="D512" s="53" t="s">
        <v>3866</v>
      </c>
      <c r="E512" s="26" t="s">
        <v>3931</v>
      </c>
      <c r="F512" s="53" t="s">
        <v>3929</v>
      </c>
      <c r="G512" s="56" t="s">
        <v>28</v>
      </c>
      <c r="H512" s="26" t="s">
        <v>60</v>
      </c>
      <c r="I512" s="53" t="s">
        <v>19</v>
      </c>
      <c r="J512" s="53">
        <v>14860.59</v>
      </c>
      <c r="K512" s="53">
        <v>56.741900000000001</v>
      </c>
      <c r="L512" s="59">
        <f t="shared" si="51"/>
        <v>261.897997775894</v>
      </c>
      <c r="M512" s="53">
        <v>48</v>
      </c>
      <c r="N512" s="57">
        <f t="shared" si="60"/>
        <v>309.59562499999998</v>
      </c>
      <c r="O512" s="38">
        <f t="shared" ca="1" si="59"/>
        <v>43</v>
      </c>
      <c r="P512" s="36">
        <f t="shared" ca="1" si="61"/>
        <v>1547.9781250000015</v>
      </c>
      <c r="Q512" s="36">
        <f t="shared" ca="1" si="62"/>
        <v>1547.9781250000015</v>
      </c>
      <c r="R512" s="535" t="s">
        <v>3869</v>
      </c>
    </row>
    <row r="513" spans="2:18" s="4" customFormat="1" ht="107.25" customHeight="1" x14ac:dyDescent="0.25">
      <c r="B513" s="24">
        <v>44551</v>
      </c>
      <c r="C513" s="24" t="s">
        <v>2349</v>
      </c>
      <c r="D513" s="53" t="s">
        <v>3866</v>
      </c>
      <c r="E513" s="26" t="s">
        <v>3932</v>
      </c>
      <c r="F513" s="63" t="s">
        <v>3933</v>
      </c>
      <c r="G513" s="56" t="s">
        <v>28</v>
      </c>
      <c r="H513" s="26" t="s">
        <v>60</v>
      </c>
      <c r="I513" s="53" t="s">
        <v>19</v>
      </c>
      <c r="J513" s="53">
        <v>1175.83</v>
      </c>
      <c r="K513" s="53">
        <v>56.741900000000001</v>
      </c>
      <c r="L513" s="59">
        <f t="shared" si="51"/>
        <v>20.722429104418428</v>
      </c>
      <c r="M513" s="53">
        <v>48</v>
      </c>
      <c r="N513" s="57">
        <f t="shared" si="60"/>
        <v>24.496458333333333</v>
      </c>
      <c r="O513" s="38">
        <f t="shared" ref="O513:O524" ca="1" si="63">IF(B513&lt;&gt;0,(ROUND((NOW()-B513)/30,0)),0)</f>
        <v>43</v>
      </c>
      <c r="P513" s="36">
        <f t="shared" ca="1" si="61"/>
        <v>122.4822916666667</v>
      </c>
      <c r="Q513" s="36">
        <f t="shared" ca="1" si="62"/>
        <v>122.4822916666667</v>
      </c>
      <c r="R513" s="535" t="s">
        <v>3869</v>
      </c>
    </row>
    <row r="514" spans="2:18" s="4" customFormat="1" ht="107.25" customHeight="1" x14ac:dyDescent="0.25">
      <c r="B514" s="24">
        <v>44551</v>
      </c>
      <c r="C514" s="24" t="s">
        <v>2349</v>
      </c>
      <c r="D514" s="53" t="s">
        <v>3866</v>
      </c>
      <c r="E514" s="26" t="s">
        <v>3934</v>
      </c>
      <c r="F514" s="63" t="s">
        <v>3933</v>
      </c>
      <c r="G514" s="56" t="s">
        <v>28</v>
      </c>
      <c r="H514" s="26" t="s">
        <v>60</v>
      </c>
      <c r="I514" s="53" t="s">
        <v>19</v>
      </c>
      <c r="J514" s="53">
        <v>1175.83</v>
      </c>
      <c r="K514" s="53">
        <v>56.741900000000001</v>
      </c>
      <c r="L514" s="59">
        <f t="shared" si="51"/>
        <v>20.722429104418428</v>
      </c>
      <c r="M514" s="53">
        <v>48</v>
      </c>
      <c r="N514" s="57">
        <f t="shared" si="60"/>
        <v>24.496458333333333</v>
      </c>
      <c r="O514" s="38">
        <f t="shared" ca="1" si="63"/>
        <v>43</v>
      </c>
      <c r="P514" s="36">
        <f t="shared" ca="1" si="61"/>
        <v>122.4822916666667</v>
      </c>
      <c r="Q514" s="36">
        <f t="shared" ca="1" si="62"/>
        <v>122.4822916666667</v>
      </c>
      <c r="R514" s="535" t="s">
        <v>3869</v>
      </c>
    </row>
    <row r="515" spans="2:18" s="4" customFormat="1" ht="107.25" customHeight="1" x14ac:dyDescent="0.25">
      <c r="B515" s="24">
        <v>44551</v>
      </c>
      <c r="C515" s="24" t="s">
        <v>2349</v>
      </c>
      <c r="D515" s="53" t="s">
        <v>3866</v>
      </c>
      <c r="E515" s="26" t="s">
        <v>3935</v>
      </c>
      <c r="F515" s="63" t="s">
        <v>3933</v>
      </c>
      <c r="G515" s="56" t="s">
        <v>28</v>
      </c>
      <c r="H515" s="26" t="s">
        <v>60</v>
      </c>
      <c r="I515" s="53" t="s">
        <v>19</v>
      </c>
      <c r="J515" s="53">
        <v>1175.83</v>
      </c>
      <c r="K515" s="53">
        <v>56.741900000000001</v>
      </c>
      <c r="L515" s="59">
        <f t="shared" si="51"/>
        <v>20.722429104418428</v>
      </c>
      <c r="M515" s="53">
        <v>48</v>
      </c>
      <c r="N515" s="57">
        <f t="shared" si="60"/>
        <v>24.496458333333333</v>
      </c>
      <c r="O515" s="38">
        <f t="shared" ca="1" si="63"/>
        <v>43</v>
      </c>
      <c r="P515" s="36">
        <f t="shared" ca="1" si="61"/>
        <v>122.4822916666667</v>
      </c>
      <c r="Q515" s="36">
        <f t="shared" ca="1" si="62"/>
        <v>122.4822916666667</v>
      </c>
      <c r="R515" s="535" t="s">
        <v>3869</v>
      </c>
    </row>
    <row r="516" spans="2:18" s="4" customFormat="1" ht="107.25" customHeight="1" x14ac:dyDescent="0.25">
      <c r="B516" s="24">
        <v>44551</v>
      </c>
      <c r="C516" s="24" t="s">
        <v>2349</v>
      </c>
      <c r="D516" s="53" t="s">
        <v>3866</v>
      </c>
      <c r="E516" s="26" t="s">
        <v>3936</v>
      </c>
      <c r="F516" s="63" t="s">
        <v>3933</v>
      </c>
      <c r="G516" s="56" t="s">
        <v>28</v>
      </c>
      <c r="H516" s="26" t="s">
        <v>60</v>
      </c>
      <c r="I516" s="53" t="s">
        <v>19</v>
      </c>
      <c r="J516" s="53">
        <v>1175.83</v>
      </c>
      <c r="K516" s="53">
        <v>56.741900000000001</v>
      </c>
      <c r="L516" s="59">
        <f t="shared" si="51"/>
        <v>20.722429104418428</v>
      </c>
      <c r="M516" s="53">
        <v>48</v>
      </c>
      <c r="N516" s="57">
        <f t="shared" si="60"/>
        <v>24.496458333333333</v>
      </c>
      <c r="O516" s="38">
        <f t="shared" ca="1" si="63"/>
        <v>43</v>
      </c>
      <c r="P516" s="36">
        <f t="shared" ca="1" si="61"/>
        <v>122.4822916666667</v>
      </c>
      <c r="Q516" s="36">
        <f t="shared" ca="1" si="62"/>
        <v>122.4822916666667</v>
      </c>
      <c r="R516" s="535" t="s">
        <v>3869</v>
      </c>
    </row>
    <row r="517" spans="2:18" s="4" customFormat="1" ht="107.25" customHeight="1" x14ac:dyDescent="0.25">
      <c r="B517" s="24">
        <v>44551</v>
      </c>
      <c r="C517" s="24" t="s">
        <v>2349</v>
      </c>
      <c r="D517" s="53" t="s">
        <v>3866</v>
      </c>
      <c r="E517" s="26" t="s">
        <v>3937</v>
      </c>
      <c r="F517" s="63" t="s">
        <v>3933</v>
      </c>
      <c r="G517" s="56" t="s">
        <v>28</v>
      </c>
      <c r="H517" s="26" t="s">
        <v>60</v>
      </c>
      <c r="I517" s="53" t="s">
        <v>19</v>
      </c>
      <c r="J517" s="53">
        <v>1175.83</v>
      </c>
      <c r="K517" s="53">
        <v>56.741900000000001</v>
      </c>
      <c r="L517" s="59">
        <f t="shared" si="51"/>
        <v>20.722429104418428</v>
      </c>
      <c r="M517" s="53">
        <v>48</v>
      </c>
      <c r="N517" s="57">
        <f t="shared" si="60"/>
        <v>24.496458333333333</v>
      </c>
      <c r="O517" s="38">
        <f t="shared" ca="1" si="63"/>
        <v>43</v>
      </c>
      <c r="P517" s="36">
        <f t="shared" ca="1" si="61"/>
        <v>122.4822916666667</v>
      </c>
      <c r="Q517" s="36">
        <f t="shared" ca="1" si="62"/>
        <v>122.4822916666667</v>
      </c>
      <c r="R517" s="535" t="s">
        <v>3869</v>
      </c>
    </row>
    <row r="518" spans="2:18" s="4" customFormat="1" ht="107.25" customHeight="1" x14ac:dyDescent="0.25">
      <c r="B518" s="24">
        <v>44551</v>
      </c>
      <c r="C518" s="24" t="s">
        <v>2349</v>
      </c>
      <c r="D518" s="53" t="s">
        <v>3866</v>
      </c>
      <c r="E518" s="26" t="s">
        <v>3938</v>
      </c>
      <c r="F518" s="63" t="s">
        <v>3933</v>
      </c>
      <c r="G518" s="56" t="s">
        <v>28</v>
      </c>
      <c r="H518" s="26" t="s">
        <v>60</v>
      </c>
      <c r="I518" s="53" t="s">
        <v>19</v>
      </c>
      <c r="J518" s="53">
        <v>1175.83</v>
      </c>
      <c r="K518" s="53">
        <v>56.741900000000001</v>
      </c>
      <c r="L518" s="59">
        <f t="shared" si="51"/>
        <v>20.722429104418428</v>
      </c>
      <c r="M518" s="53">
        <v>48</v>
      </c>
      <c r="N518" s="57">
        <f t="shared" ref="N518:N524" si="64">J518/M518</f>
        <v>24.496458333333333</v>
      </c>
      <c r="O518" s="38">
        <f t="shared" ca="1" si="63"/>
        <v>43</v>
      </c>
      <c r="P518" s="36">
        <f t="shared" ca="1" si="61"/>
        <v>122.4822916666667</v>
      </c>
      <c r="Q518" s="36">
        <f t="shared" ca="1" si="62"/>
        <v>122.4822916666667</v>
      </c>
      <c r="R518" s="535" t="s">
        <v>3869</v>
      </c>
    </row>
    <row r="519" spans="2:18" s="4" customFormat="1" ht="107.25" customHeight="1" x14ac:dyDescent="0.25">
      <c r="B519" s="24">
        <v>44551</v>
      </c>
      <c r="C519" s="24" t="s">
        <v>2349</v>
      </c>
      <c r="D519" s="53" t="s">
        <v>3866</v>
      </c>
      <c r="E519" s="26" t="s">
        <v>3939</v>
      </c>
      <c r="F519" s="63" t="s">
        <v>3933</v>
      </c>
      <c r="G519" s="56" t="s">
        <v>28</v>
      </c>
      <c r="H519" s="26" t="s">
        <v>60</v>
      </c>
      <c r="I519" s="53" t="s">
        <v>19</v>
      </c>
      <c r="J519" s="53">
        <v>1175.83</v>
      </c>
      <c r="K519" s="53">
        <v>56.741900000000001</v>
      </c>
      <c r="L519" s="59">
        <f t="shared" si="51"/>
        <v>20.722429104418428</v>
      </c>
      <c r="M519" s="53">
        <v>48</v>
      </c>
      <c r="N519" s="57">
        <f t="shared" si="64"/>
        <v>24.496458333333333</v>
      </c>
      <c r="O519" s="38">
        <f t="shared" ca="1" si="63"/>
        <v>43</v>
      </c>
      <c r="P519" s="36">
        <f t="shared" ca="1" si="61"/>
        <v>122.4822916666667</v>
      </c>
      <c r="Q519" s="36">
        <f t="shared" ca="1" si="62"/>
        <v>122.4822916666667</v>
      </c>
      <c r="R519" s="535" t="s">
        <v>3869</v>
      </c>
    </row>
    <row r="520" spans="2:18" s="4" customFormat="1" ht="107.25" customHeight="1" x14ac:dyDescent="0.25">
      <c r="B520" s="24">
        <v>44551</v>
      </c>
      <c r="C520" s="24" t="s">
        <v>2349</v>
      </c>
      <c r="D520" s="53" t="s">
        <v>3866</v>
      </c>
      <c r="E520" s="26" t="s">
        <v>3940</v>
      </c>
      <c r="F520" s="63" t="s">
        <v>3933</v>
      </c>
      <c r="G520" s="56" t="s">
        <v>28</v>
      </c>
      <c r="H520" s="26" t="s">
        <v>60</v>
      </c>
      <c r="I520" s="53" t="s">
        <v>19</v>
      </c>
      <c r="J520" s="53">
        <v>1175.83</v>
      </c>
      <c r="K520" s="53">
        <v>56.741900000000001</v>
      </c>
      <c r="L520" s="59">
        <f t="shared" si="51"/>
        <v>20.722429104418428</v>
      </c>
      <c r="M520" s="53">
        <v>48</v>
      </c>
      <c r="N520" s="57">
        <f t="shared" si="64"/>
        <v>24.496458333333333</v>
      </c>
      <c r="O520" s="38">
        <f t="shared" ca="1" si="63"/>
        <v>43</v>
      </c>
      <c r="P520" s="36">
        <f t="shared" ca="1" si="61"/>
        <v>122.4822916666667</v>
      </c>
      <c r="Q520" s="36">
        <f t="shared" ca="1" si="62"/>
        <v>122.4822916666667</v>
      </c>
      <c r="R520" s="535" t="s">
        <v>3869</v>
      </c>
    </row>
    <row r="521" spans="2:18" s="4" customFormat="1" ht="107.25" customHeight="1" x14ac:dyDescent="0.25">
      <c r="B521" s="24">
        <v>44551</v>
      </c>
      <c r="C521" s="24" t="s">
        <v>2349</v>
      </c>
      <c r="D521" s="53" t="s">
        <v>3866</v>
      </c>
      <c r="E521" s="26" t="s">
        <v>3941</v>
      </c>
      <c r="F521" s="63" t="s">
        <v>3933</v>
      </c>
      <c r="G521" s="56" t="s">
        <v>28</v>
      </c>
      <c r="H521" s="26" t="s">
        <v>60</v>
      </c>
      <c r="I521" s="53" t="s">
        <v>19</v>
      </c>
      <c r="J521" s="53">
        <v>1175.83</v>
      </c>
      <c r="K521" s="53">
        <v>56.741900000000001</v>
      </c>
      <c r="L521" s="59">
        <f t="shared" si="51"/>
        <v>20.722429104418428</v>
      </c>
      <c r="M521" s="53">
        <v>48</v>
      </c>
      <c r="N521" s="57">
        <f t="shared" si="64"/>
        <v>24.496458333333333</v>
      </c>
      <c r="O521" s="38">
        <f t="shared" ca="1" si="63"/>
        <v>43</v>
      </c>
      <c r="P521" s="36">
        <f t="shared" ref="P521:P584" ca="1" si="65">IF(OR(J521=0,M521=0,O521=0),0,J521-(N521*O521))</f>
        <v>122.4822916666667</v>
      </c>
      <c r="Q521" s="36">
        <f t="shared" ca="1" si="62"/>
        <v>122.4822916666667</v>
      </c>
      <c r="R521" s="535" t="s">
        <v>3869</v>
      </c>
    </row>
    <row r="522" spans="2:18" s="4" customFormat="1" ht="107.25" customHeight="1" x14ac:dyDescent="0.25">
      <c r="B522" s="24">
        <v>44551</v>
      </c>
      <c r="C522" s="24" t="s">
        <v>2349</v>
      </c>
      <c r="D522" s="53" t="s">
        <v>3866</v>
      </c>
      <c r="E522" s="26" t="s">
        <v>3942</v>
      </c>
      <c r="F522" s="63" t="s">
        <v>3933</v>
      </c>
      <c r="G522" s="56" t="s">
        <v>28</v>
      </c>
      <c r="H522" s="26" t="s">
        <v>60</v>
      </c>
      <c r="I522" s="53" t="s">
        <v>19</v>
      </c>
      <c r="J522" s="53">
        <v>1175.83</v>
      </c>
      <c r="K522" s="53">
        <v>56.741900000000001</v>
      </c>
      <c r="L522" s="59">
        <f t="shared" si="51"/>
        <v>20.722429104418428</v>
      </c>
      <c r="M522" s="53">
        <v>48</v>
      </c>
      <c r="N522" s="57">
        <f t="shared" si="64"/>
        <v>24.496458333333333</v>
      </c>
      <c r="O522" s="38">
        <f t="shared" ca="1" si="63"/>
        <v>43</v>
      </c>
      <c r="P522" s="36">
        <f t="shared" ca="1" si="65"/>
        <v>122.4822916666667</v>
      </c>
      <c r="Q522" s="36">
        <f t="shared" ca="1" si="62"/>
        <v>122.4822916666667</v>
      </c>
      <c r="R522" s="535" t="s">
        <v>3869</v>
      </c>
    </row>
    <row r="523" spans="2:18" s="4" customFormat="1" ht="107.25" customHeight="1" x14ac:dyDescent="0.25">
      <c r="B523" s="24">
        <v>44551</v>
      </c>
      <c r="C523" s="24" t="s">
        <v>2349</v>
      </c>
      <c r="D523" s="53" t="s">
        <v>3866</v>
      </c>
      <c r="E523" s="26" t="s">
        <v>3943</v>
      </c>
      <c r="F523" s="53" t="s">
        <v>3944</v>
      </c>
      <c r="G523" s="56" t="s">
        <v>28</v>
      </c>
      <c r="H523" s="26" t="s">
        <v>60</v>
      </c>
      <c r="I523" s="53" t="s">
        <v>19</v>
      </c>
      <c r="J523" s="53">
        <v>6686.73</v>
      </c>
      <c r="K523" s="53">
        <v>56.741900000000001</v>
      </c>
      <c r="L523" s="59">
        <f t="shared" si="51"/>
        <v>117.84466152878207</v>
      </c>
      <c r="M523" s="53">
        <v>48</v>
      </c>
      <c r="N523" s="57">
        <f t="shared" si="64"/>
        <v>139.30687499999999</v>
      </c>
      <c r="O523" s="38">
        <f t="shared" ca="1" si="63"/>
        <v>43</v>
      </c>
      <c r="P523" s="36">
        <f t="shared" ca="1" si="65"/>
        <v>696.53437500000018</v>
      </c>
      <c r="Q523" s="36">
        <f t="shared" ca="1" si="62"/>
        <v>696.53437500000018</v>
      </c>
      <c r="R523" s="535" t="s">
        <v>3869</v>
      </c>
    </row>
    <row r="524" spans="2:18" s="4" customFormat="1" ht="107.25" customHeight="1" x14ac:dyDescent="0.25">
      <c r="B524" s="24">
        <v>44551</v>
      </c>
      <c r="C524" s="24" t="s">
        <v>2349</v>
      </c>
      <c r="D524" s="53" t="s">
        <v>3866</v>
      </c>
      <c r="E524" s="26" t="s">
        <v>3945</v>
      </c>
      <c r="F524" s="53" t="s">
        <v>3946</v>
      </c>
      <c r="G524" s="56" t="s">
        <v>28</v>
      </c>
      <c r="H524" s="26" t="s">
        <v>60</v>
      </c>
      <c r="I524" s="53" t="s">
        <v>19</v>
      </c>
      <c r="J524" s="53">
        <v>3185</v>
      </c>
      <c r="K524" s="53">
        <v>56.741900000000001</v>
      </c>
      <c r="L524" s="59">
        <f t="shared" si="51"/>
        <v>56.131359718303408</v>
      </c>
      <c r="M524" s="53">
        <v>48</v>
      </c>
      <c r="N524" s="57">
        <f t="shared" si="64"/>
        <v>66.354166666666671</v>
      </c>
      <c r="O524" s="38">
        <f t="shared" ca="1" si="63"/>
        <v>43</v>
      </c>
      <c r="P524" s="36">
        <f t="shared" ca="1" si="65"/>
        <v>331.77083333333303</v>
      </c>
      <c r="Q524" s="36">
        <f t="shared" ca="1" si="62"/>
        <v>331.77083333333303</v>
      </c>
      <c r="R524" s="535" t="s">
        <v>3869</v>
      </c>
    </row>
    <row r="525" spans="2:18" s="4" customFormat="1" ht="107.25" customHeight="1" x14ac:dyDescent="0.25">
      <c r="B525" s="518">
        <v>44607</v>
      </c>
      <c r="C525" s="519"/>
      <c r="D525" s="520" t="s">
        <v>3952</v>
      </c>
      <c r="E525" s="520" t="s">
        <v>4415</v>
      </c>
      <c r="F525" s="521" t="s">
        <v>3953</v>
      </c>
      <c r="G525" s="548" t="s">
        <v>18</v>
      </c>
      <c r="H525" s="520" t="s">
        <v>4388</v>
      </c>
      <c r="I525" s="522" t="s">
        <v>4102</v>
      </c>
      <c r="J525" s="523">
        <v>64634.5</v>
      </c>
      <c r="K525" s="523">
        <v>56.690399999999997</v>
      </c>
      <c r="L525" s="524">
        <f t="shared" ref="L525:L588" si="66">+J525/K525</f>
        <v>1140.1313097102861</v>
      </c>
      <c r="M525" s="525">
        <v>60</v>
      </c>
      <c r="N525" s="526">
        <f t="shared" ref="N525:N562" si="67">+J525/M525</f>
        <v>1077.2416666666666</v>
      </c>
      <c r="O525" s="527">
        <f t="shared" ref="O525:O588" ca="1" si="68">IF(C525&lt;&gt;0,(ROUND((NOW()-C525)/30,0)),0)</f>
        <v>0</v>
      </c>
      <c r="P525" s="36">
        <f t="shared" ca="1" si="65"/>
        <v>0</v>
      </c>
      <c r="Q525" s="387">
        <f t="shared" ca="1" si="62"/>
        <v>1</v>
      </c>
      <c r="R525" s="536" t="s">
        <v>3954</v>
      </c>
    </row>
    <row r="526" spans="2:18" s="4" customFormat="1" ht="107.25" customHeight="1" x14ac:dyDescent="0.25">
      <c r="B526" s="518">
        <v>44607</v>
      </c>
      <c r="C526" s="519"/>
      <c r="D526" s="520" t="s">
        <v>3952</v>
      </c>
      <c r="E526" s="520" t="s">
        <v>4416</v>
      </c>
      <c r="F526" s="521" t="s">
        <v>3953</v>
      </c>
      <c r="G526" s="548" t="s">
        <v>18</v>
      </c>
      <c r="H526" s="520" t="s">
        <v>4388</v>
      </c>
      <c r="I526" s="522" t="s">
        <v>4102</v>
      </c>
      <c r="J526" s="523">
        <v>64634.5</v>
      </c>
      <c r="K526" s="523">
        <v>56.690399999999997</v>
      </c>
      <c r="L526" s="524">
        <f t="shared" si="66"/>
        <v>1140.1313097102861</v>
      </c>
      <c r="M526" s="525">
        <v>60</v>
      </c>
      <c r="N526" s="526">
        <f t="shared" si="67"/>
        <v>1077.2416666666666</v>
      </c>
      <c r="O526" s="527">
        <f t="shared" ca="1" si="68"/>
        <v>0</v>
      </c>
      <c r="P526" s="36">
        <f t="shared" ca="1" si="65"/>
        <v>0</v>
      </c>
      <c r="Q526" s="387">
        <f t="shared" ca="1" si="62"/>
        <v>1</v>
      </c>
      <c r="R526" s="536" t="s">
        <v>3954</v>
      </c>
    </row>
    <row r="527" spans="2:18" s="4" customFormat="1" ht="107.25" customHeight="1" x14ac:dyDescent="0.25">
      <c r="B527" s="518">
        <v>44607</v>
      </c>
      <c r="C527" s="519"/>
      <c r="D527" s="520" t="s">
        <v>3952</v>
      </c>
      <c r="E527" s="520" t="s">
        <v>4417</v>
      </c>
      <c r="F527" s="521" t="s">
        <v>3953</v>
      </c>
      <c r="G527" s="548" t="s">
        <v>18</v>
      </c>
      <c r="H527" s="520" t="s">
        <v>4388</v>
      </c>
      <c r="I527" s="522" t="s">
        <v>4102</v>
      </c>
      <c r="J527" s="523">
        <v>64634.5</v>
      </c>
      <c r="K527" s="523">
        <v>56.690399999999997</v>
      </c>
      <c r="L527" s="524">
        <f t="shared" si="66"/>
        <v>1140.1313097102861</v>
      </c>
      <c r="M527" s="525">
        <v>60</v>
      </c>
      <c r="N527" s="526">
        <f t="shared" si="67"/>
        <v>1077.2416666666666</v>
      </c>
      <c r="O527" s="527">
        <f t="shared" ca="1" si="68"/>
        <v>0</v>
      </c>
      <c r="P527" s="36">
        <f t="shared" ca="1" si="65"/>
        <v>0</v>
      </c>
      <c r="Q527" s="387">
        <f t="shared" ca="1" si="62"/>
        <v>1</v>
      </c>
      <c r="R527" s="536" t="s">
        <v>3954</v>
      </c>
    </row>
    <row r="528" spans="2:18" s="4" customFormat="1" ht="107.25" customHeight="1" x14ac:dyDescent="0.25">
      <c r="B528" s="518">
        <v>44607</v>
      </c>
      <c r="C528" s="519"/>
      <c r="D528" s="520" t="s">
        <v>3952</v>
      </c>
      <c r="E528" s="520" t="s">
        <v>4418</v>
      </c>
      <c r="F528" s="521" t="s">
        <v>4419</v>
      </c>
      <c r="G528" s="548" t="s">
        <v>18</v>
      </c>
      <c r="H528" s="520" t="s">
        <v>4388</v>
      </c>
      <c r="I528" s="522" t="s">
        <v>4102</v>
      </c>
      <c r="J528" s="523">
        <v>26491</v>
      </c>
      <c r="K528" s="523">
        <v>56.690399999999997</v>
      </c>
      <c r="L528" s="524">
        <f t="shared" si="66"/>
        <v>467.29252219070605</v>
      </c>
      <c r="M528" s="525">
        <v>60</v>
      </c>
      <c r="N528" s="526">
        <f t="shared" si="67"/>
        <v>441.51666666666665</v>
      </c>
      <c r="O528" s="527">
        <f t="shared" ca="1" si="68"/>
        <v>0</v>
      </c>
      <c r="P528" s="36">
        <f t="shared" ca="1" si="65"/>
        <v>0</v>
      </c>
      <c r="Q528" s="387">
        <f t="shared" ca="1" si="62"/>
        <v>1</v>
      </c>
      <c r="R528" s="536" t="s">
        <v>3954</v>
      </c>
    </row>
    <row r="529" spans="2:18" s="4" customFormat="1" ht="107.25" customHeight="1" x14ac:dyDescent="0.25">
      <c r="B529" s="518">
        <v>44607</v>
      </c>
      <c r="C529" s="519"/>
      <c r="D529" s="520" t="s">
        <v>3952</v>
      </c>
      <c r="E529" s="520" t="s">
        <v>4420</v>
      </c>
      <c r="F529" s="521" t="s">
        <v>4419</v>
      </c>
      <c r="G529" s="548" t="s">
        <v>18</v>
      </c>
      <c r="H529" s="520" t="s">
        <v>4388</v>
      </c>
      <c r="I529" s="522" t="s">
        <v>4102</v>
      </c>
      <c r="J529" s="523">
        <v>26491</v>
      </c>
      <c r="K529" s="523">
        <v>56.690399999999997</v>
      </c>
      <c r="L529" s="524">
        <f t="shared" si="66"/>
        <v>467.29252219070605</v>
      </c>
      <c r="M529" s="525">
        <v>60</v>
      </c>
      <c r="N529" s="526">
        <f t="shared" si="67"/>
        <v>441.51666666666665</v>
      </c>
      <c r="O529" s="527">
        <f t="shared" ca="1" si="68"/>
        <v>0</v>
      </c>
      <c r="P529" s="36">
        <f t="shared" ca="1" si="65"/>
        <v>0</v>
      </c>
      <c r="Q529" s="387">
        <f t="shared" ca="1" si="62"/>
        <v>1</v>
      </c>
      <c r="R529" s="536" t="s">
        <v>3954</v>
      </c>
    </row>
    <row r="530" spans="2:18" s="4" customFormat="1" ht="107.25" customHeight="1" x14ac:dyDescent="0.25">
      <c r="B530" s="518">
        <v>44607</v>
      </c>
      <c r="C530" s="519"/>
      <c r="D530" s="520" t="s">
        <v>3952</v>
      </c>
      <c r="E530" s="520" t="s">
        <v>4421</v>
      </c>
      <c r="F530" s="521" t="s">
        <v>4419</v>
      </c>
      <c r="G530" s="548" t="s">
        <v>18</v>
      </c>
      <c r="H530" s="520" t="s">
        <v>4388</v>
      </c>
      <c r="I530" s="522" t="s">
        <v>4102</v>
      </c>
      <c r="J530" s="523">
        <v>26491</v>
      </c>
      <c r="K530" s="523">
        <v>56.690399999999997</v>
      </c>
      <c r="L530" s="524">
        <f t="shared" si="66"/>
        <v>467.29252219070605</v>
      </c>
      <c r="M530" s="525">
        <v>60</v>
      </c>
      <c r="N530" s="526">
        <f t="shared" si="67"/>
        <v>441.51666666666665</v>
      </c>
      <c r="O530" s="527">
        <f t="shared" ca="1" si="68"/>
        <v>0</v>
      </c>
      <c r="P530" s="36">
        <f t="shared" ca="1" si="65"/>
        <v>0</v>
      </c>
      <c r="Q530" s="387">
        <f t="shared" ca="1" si="62"/>
        <v>1</v>
      </c>
      <c r="R530" s="536" t="s">
        <v>3954</v>
      </c>
    </row>
    <row r="531" spans="2:18" s="4" customFormat="1" ht="107.25" customHeight="1" x14ac:dyDescent="0.25">
      <c r="B531" s="518">
        <v>44607</v>
      </c>
      <c r="C531" s="519"/>
      <c r="D531" s="520" t="s">
        <v>3952</v>
      </c>
      <c r="E531" s="520" t="s">
        <v>4422</v>
      </c>
      <c r="F531" s="521" t="s">
        <v>3955</v>
      </c>
      <c r="G531" s="548" t="s">
        <v>18</v>
      </c>
      <c r="H531" s="520" t="s">
        <v>4388</v>
      </c>
      <c r="I531" s="522" t="s">
        <v>4102</v>
      </c>
      <c r="J531" s="523">
        <v>10885.5</v>
      </c>
      <c r="K531" s="523">
        <v>56.690399999999997</v>
      </c>
      <c r="L531" s="524">
        <f t="shared" si="66"/>
        <v>192.01663773760637</v>
      </c>
      <c r="M531" s="525">
        <v>60</v>
      </c>
      <c r="N531" s="526">
        <f t="shared" si="67"/>
        <v>181.42500000000001</v>
      </c>
      <c r="O531" s="527">
        <f t="shared" ca="1" si="68"/>
        <v>0</v>
      </c>
      <c r="P531" s="36">
        <f t="shared" ca="1" si="65"/>
        <v>0</v>
      </c>
      <c r="Q531" s="387">
        <f t="shared" ca="1" si="62"/>
        <v>1</v>
      </c>
      <c r="R531" s="536" t="s">
        <v>3954</v>
      </c>
    </row>
    <row r="532" spans="2:18" s="4" customFormat="1" ht="107.25" customHeight="1" x14ac:dyDescent="0.25">
      <c r="B532" s="518">
        <v>44607</v>
      </c>
      <c r="C532" s="519"/>
      <c r="D532" s="520" t="s">
        <v>3952</v>
      </c>
      <c r="E532" s="520" t="s">
        <v>4423</v>
      </c>
      <c r="F532" s="521" t="s">
        <v>3955</v>
      </c>
      <c r="G532" s="548" t="s">
        <v>18</v>
      </c>
      <c r="H532" s="520" t="s">
        <v>4388</v>
      </c>
      <c r="I532" s="522" t="s">
        <v>4102</v>
      </c>
      <c r="J532" s="523">
        <v>10885.5</v>
      </c>
      <c r="K532" s="523">
        <v>56.690399999999997</v>
      </c>
      <c r="L532" s="524">
        <f t="shared" si="66"/>
        <v>192.01663773760637</v>
      </c>
      <c r="M532" s="525">
        <v>60</v>
      </c>
      <c r="N532" s="526">
        <f t="shared" si="67"/>
        <v>181.42500000000001</v>
      </c>
      <c r="O532" s="527">
        <f t="shared" ca="1" si="68"/>
        <v>0</v>
      </c>
      <c r="P532" s="36">
        <f t="shared" ca="1" si="65"/>
        <v>0</v>
      </c>
      <c r="Q532" s="387">
        <f t="shared" ca="1" si="62"/>
        <v>1</v>
      </c>
      <c r="R532" s="536" t="s">
        <v>3954</v>
      </c>
    </row>
    <row r="533" spans="2:18" s="4" customFormat="1" ht="107.25" customHeight="1" x14ac:dyDescent="0.25">
      <c r="B533" s="518">
        <v>44607</v>
      </c>
      <c r="C533" s="519"/>
      <c r="D533" s="520" t="s">
        <v>3952</v>
      </c>
      <c r="E533" s="520" t="s">
        <v>4424</v>
      </c>
      <c r="F533" s="521" t="s">
        <v>3955</v>
      </c>
      <c r="G533" s="548" t="s">
        <v>18</v>
      </c>
      <c r="H533" s="520" t="s">
        <v>4388</v>
      </c>
      <c r="I533" s="522" t="s">
        <v>4102</v>
      </c>
      <c r="J533" s="523">
        <v>10885.5</v>
      </c>
      <c r="K533" s="523">
        <v>56.690399999999997</v>
      </c>
      <c r="L533" s="524">
        <f t="shared" si="66"/>
        <v>192.01663773760637</v>
      </c>
      <c r="M533" s="525">
        <v>60</v>
      </c>
      <c r="N533" s="526">
        <f t="shared" si="67"/>
        <v>181.42500000000001</v>
      </c>
      <c r="O533" s="527">
        <f t="shared" ca="1" si="68"/>
        <v>0</v>
      </c>
      <c r="P533" s="36">
        <f t="shared" ca="1" si="65"/>
        <v>0</v>
      </c>
      <c r="Q533" s="387">
        <f t="shared" ca="1" si="62"/>
        <v>1</v>
      </c>
      <c r="R533" s="536" t="s">
        <v>3954</v>
      </c>
    </row>
    <row r="534" spans="2:18" s="4" customFormat="1" ht="107.25" customHeight="1" x14ac:dyDescent="0.25">
      <c r="B534" s="518">
        <v>44607</v>
      </c>
      <c r="C534" s="519"/>
      <c r="D534" s="520" t="s">
        <v>3952</v>
      </c>
      <c r="E534" s="520" t="s">
        <v>4425</v>
      </c>
      <c r="F534" s="521" t="s">
        <v>3956</v>
      </c>
      <c r="G534" s="548" t="s">
        <v>18</v>
      </c>
      <c r="H534" s="520" t="s">
        <v>4388</v>
      </c>
      <c r="I534" s="522" t="s">
        <v>4102</v>
      </c>
      <c r="J534" s="523">
        <v>32450</v>
      </c>
      <c r="K534" s="523">
        <v>56.690399999999997</v>
      </c>
      <c r="L534" s="524">
        <f t="shared" si="66"/>
        <v>572.40732116901631</v>
      </c>
      <c r="M534" s="525">
        <v>60</v>
      </c>
      <c r="N534" s="526">
        <f t="shared" si="67"/>
        <v>540.83333333333337</v>
      </c>
      <c r="O534" s="527">
        <f t="shared" ca="1" si="68"/>
        <v>0</v>
      </c>
      <c r="P534" s="36">
        <f t="shared" ca="1" si="65"/>
        <v>0</v>
      </c>
      <c r="Q534" s="387">
        <f t="shared" ca="1" si="62"/>
        <v>1</v>
      </c>
      <c r="R534" s="536" t="s">
        <v>3954</v>
      </c>
    </row>
    <row r="535" spans="2:18" s="4" customFormat="1" ht="107.25" customHeight="1" x14ac:dyDescent="0.25">
      <c r="B535" s="518">
        <v>44607</v>
      </c>
      <c r="C535" s="519"/>
      <c r="D535" s="520" t="s">
        <v>3952</v>
      </c>
      <c r="E535" s="520" t="s">
        <v>4426</v>
      </c>
      <c r="F535" s="521" t="s">
        <v>4427</v>
      </c>
      <c r="G535" s="548" t="s">
        <v>18</v>
      </c>
      <c r="H535" s="520" t="s">
        <v>4388</v>
      </c>
      <c r="I535" s="522" t="s">
        <v>4102</v>
      </c>
      <c r="J535" s="523">
        <v>3422</v>
      </c>
      <c r="K535" s="523">
        <v>56.690399999999997</v>
      </c>
      <c r="L535" s="524">
        <f t="shared" si="66"/>
        <v>60.362953868732632</v>
      </c>
      <c r="M535" s="525">
        <v>60</v>
      </c>
      <c r="N535" s="526">
        <f t="shared" si="67"/>
        <v>57.033333333333331</v>
      </c>
      <c r="O535" s="527">
        <f t="shared" ca="1" si="68"/>
        <v>0</v>
      </c>
      <c r="P535" s="36">
        <f t="shared" ca="1" si="65"/>
        <v>0</v>
      </c>
      <c r="Q535" s="387">
        <f t="shared" ca="1" si="62"/>
        <v>1</v>
      </c>
      <c r="R535" s="536" t="s">
        <v>3954</v>
      </c>
    </row>
    <row r="536" spans="2:18" s="4" customFormat="1" ht="107.25" customHeight="1" x14ac:dyDescent="0.25">
      <c r="B536" s="518">
        <v>44607</v>
      </c>
      <c r="C536" s="519"/>
      <c r="D536" s="520" t="s">
        <v>3952</v>
      </c>
      <c r="E536" s="520" t="s">
        <v>4428</v>
      </c>
      <c r="F536" s="521" t="s">
        <v>3957</v>
      </c>
      <c r="G536" s="548" t="s">
        <v>18</v>
      </c>
      <c r="H536" s="520" t="s">
        <v>4388</v>
      </c>
      <c r="I536" s="522" t="s">
        <v>4102</v>
      </c>
      <c r="J536" s="523">
        <v>16667.5</v>
      </c>
      <c r="K536" s="523">
        <v>56.690399999999997</v>
      </c>
      <c r="L536" s="524">
        <f t="shared" si="66"/>
        <v>294.00921496408563</v>
      </c>
      <c r="M536" s="525">
        <v>60</v>
      </c>
      <c r="N536" s="526">
        <f t="shared" si="67"/>
        <v>277.79166666666669</v>
      </c>
      <c r="O536" s="527">
        <f t="shared" ca="1" si="68"/>
        <v>0</v>
      </c>
      <c r="P536" s="36">
        <f t="shared" ca="1" si="65"/>
        <v>0</v>
      </c>
      <c r="Q536" s="387">
        <f t="shared" ca="1" si="62"/>
        <v>1</v>
      </c>
      <c r="R536" s="536" t="s">
        <v>3954</v>
      </c>
    </row>
    <row r="537" spans="2:18" s="4" customFormat="1" ht="107.25" customHeight="1" x14ac:dyDescent="0.25">
      <c r="B537" s="518">
        <v>44607</v>
      </c>
      <c r="C537" s="519"/>
      <c r="D537" s="520" t="s">
        <v>3952</v>
      </c>
      <c r="E537" s="520" t="s">
        <v>3958</v>
      </c>
      <c r="F537" s="521" t="s">
        <v>3959</v>
      </c>
      <c r="G537" s="548" t="s">
        <v>18</v>
      </c>
      <c r="H537" s="520" t="s">
        <v>1344</v>
      </c>
      <c r="I537" s="528" t="s">
        <v>3538</v>
      </c>
      <c r="J537" s="523">
        <v>50976</v>
      </c>
      <c r="K537" s="523">
        <v>56.690399999999997</v>
      </c>
      <c r="L537" s="524">
        <f t="shared" si="66"/>
        <v>899.19986452732746</v>
      </c>
      <c r="M537" s="525">
        <v>60</v>
      </c>
      <c r="N537" s="526">
        <f t="shared" si="67"/>
        <v>849.6</v>
      </c>
      <c r="O537" s="527">
        <f t="shared" ca="1" si="68"/>
        <v>0</v>
      </c>
      <c r="P537" s="36">
        <f t="shared" ca="1" si="65"/>
        <v>0</v>
      </c>
      <c r="Q537" s="387">
        <f t="shared" ca="1" si="62"/>
        <v>1</v>
      </c>
      <c r="R537" s="536" t="s">
        <v>3954</v>
      </c>
    </row>
    <row r="538" spans="2:18" s="4" customFormat="1" ht="107.25" customHeight="1" x14ac:dyDescent="0.25">
      <c r="B538" s="518">
        <v>44607</v>
      </c>
      <c r="C538" s="519"/>
      <c r="D538" s="520" t="s">
        <v>3952</v>
      </c>
      <c r="E538" s="520" t="s">
        <v>3960</v>
      </c>
      <c r="F538" s="521" t="s">
        <v>3959</v>
      </c>
      <c r="G538" s="548" t="s">
        <v>18</v>
      </c>
      <c r="H538" s="520" t="s">
        <v>1344</v>
      </c>
      <c r="I538" s="528" t="s">
        <v>3538</v>
      </c>
      <c r="J538" s="523">
        <v>50976</v>
      </c>
      <c r="K538" s="523">
        <v>56.690399999999997</v>
      </c>
      <c r="L538" s="524">
        <f t="shared" si="66"/>
        <v>899.19986452732746</v>
      </c>
      <c r="M538" s="525">
        <v>60</v>
      </c>
      <c r="N538" s="526">
        <f t="shared" si="67"/>
        <v>849.6</v>
      </c>
      <c r="O538" s="527">
        <f t="shared" ca="1" si="68"/>
        <v>0</v>
      </c>
      <c r="P538" s="36">
        <f t="shared" ca="1" si="65"/>
        <v>0</v>
      </c>
      <c r="Q538" s="387">
        <f t="shared" ca="1" si="62"/>
        <v>1</v>
      </c>
      <c r="R538" s="536" t="s">
        <v>3954</v>
      </c>
    </row>
    <row r="539" spans="2:18" s="4" customFormat="1" ht="107.25" customHeight="1" x14ac:dyDescent="0.25">
      <c r="B539" s="518">
        <v>44607</v>
      </c>
      <c r="C539" s="519"/>
      <c r="D539" s="520" t="s">
        <v>3952</v>
      </c>
      <c r="E539" s="520" t="s">
        <v>3961</v>
      </c>
      <c r="F539" s="521" t="s">
        <v>3962</v>
      </c>
      <c r="G539" s="548" t="s">
        <v>18</v>
      </c>
      <c r="H539" s="520" t="s">
        <v>1344</v>
      </c>
      <c r="I539" s="528" t="s">
        <v>3538</v>
      </c>
      <c r="J539" s="523">
        <v>2118.1</v>
      </c>
      <c r="K539" s="523">
        <v>56.690399999999997</v>
      </c>
      <c r="L539" s="524">
        <f t="shared" si="66"/>
        <v>37.362586963577606</v>
      </c>
      <c r="M539" s="525">
        <v>60</v>
      </c>
      <c r="N539" s="526">
        <f t="shared" si="67"/>
        <v>35.301666666666662</v>
      </c>
      <c r="O539" s="527">
        <f t="shared" ca="1" si="68"/>
        <v>0</v>
      </c>
      <c r="P539" s="36">
        <f t="shared" ca="1" si="65"/>
        <v>0</v>
      </c>
      <c r="Q539" s="387">
        <f t="shared" ca="1" si="62"/>
        <v>1</v>
      </c>
      <c r="R539" s="536" t="s">
        <v>3954</v>
      </c>
    </row>
    <row r="540" spans="2:18" s="4" customFormat="1" ht="107.25" customHeight="1" x14ac:dyDescent="0.25">
      <c r="B540" s="518">
        <v>44607</v>
      </c>
      <c r="C540" s="519"/>
      <c r="D540" s="520" t="s">
        <v>3952</v>
      </c>
      <c r="E540" s="520" t="s">
        <v>3963</v>
      </c>
      <c r="F540" s="521" t="s">
        <v>3962</v>
      </c>
      <c r="G540" s="548" t="s">
        <v>18</v>
      </c>
      <c r="H540" s="520" t="s">
        <v>1344</v>
      </c>
      <c r="I540" s="528" t="s">
        <v>3538</v>
      </c>
      <c r="J540" s="523">
        <v>2118.1</v>
      </c>
      <c r="K540" s="523">
        <v>56.690399999999997</v>
      </c>
      <c r="L540" s="524">
        <f t="shared" si="66"/>
        <v>37.362586963577606</v>
      </c>
      <c r="M540" s="525">
        <v>60</v>
      </c>
      <c r="N540" s="526">
        <f t="shared" si="67"/>
        <v>35.301666666666662</v>
      </c>
      <c r="O540" s="527">
        <f t="shared" ca="1" si="68"/>
        <v>0</v>
      </c>
      <c r="P540" s="36">
        <f t="shared" ca="1" si="65"/>
        <v>0</v>
      </c>
      <c r="Q540" s="387">
        <f t="shared" ca="1" si="62"/>
        <v>1</v>
      </c>
      <c r="R540" s="536" t="s">
        <v>3954</v>
      </c>
    </row>
    <row r="541" spans="2:18" s="4" customFormat="1" ht="107.25" customHeight="1" x14ac:dyDescent="0.25">
      <c r="B541" s="518">
        <v>44607</v>
      </c>
      <c r="C541" s="519"/>
      <c r="D541" s="520" t="s">
        <v>3952</v>
      </c>
      <c r="E541" s="520" t="s">
        <v>3964</v>
      </c>
      <c r="F541" s="521" t="s">
        <v>3962</v>
      </c>
      <c r="G541" s="548" t="s">
        <v>18</v>
      </c>
      <c r="H541" s="520" t="s">
        <v>1344</v>
      </c>
      <c r="I541" s="528" t="s">
        <v>3538</v>
      </c>
      <c r="J541" s="523">
        <v>2118.1</v>
      </c>
      <c r="K541" s="523">
        <v>56.690399999999997</v>
      </c>
      <c r="L541" s="524">
        <f t="shared" si="66"/>
        <v>37.362586963577606</v>
      </c>
      <c r="M541" s="525">
        <v>60</v>
      </c>
      <c r="N541" s="526">
        <f t="shared" si="67"/>
        <v>35.301666666666662</v>
      </c>
      <c r="O541" s="527">
        <f t="shared" ca="1" si="68"/>
        <v>0</v>
      </c>
      <c r="P541" s="36">
        <f t="shared" ca="1" si="65"/>
        <v>0</v>
      </c>
      <c r="Q541" s="387">
        <f t="shared" ca="1" si="62"/>
        <v>1</v>
      </c>
      <c r="R541" s="536" t="s">
        <v>3954</v>
      </c>
    </row>
    <row r="542" spans="2:18" s="4" customFormat="1" ht="107.25" customHeight="1" x14ac:dyDescent="0.25">
      <c r="B542" s="518">
        <v>44607</v>
      </c>
      <c r="C542" s="519"/>
      <c r="D542" s="520" t="s">
        <v>3952</v>
      </c>
      <c r="E542" s="520" t="s">
        <v>3965</v>
      </c>
      <c r="F542" s="521" t="s">
        <v>3962</v>
      </c>
      <c r="G542" s="548" t="s">
        <v>18</v>
      </c>
      <c r="H542" s="520" t="s">
        <v>1344</v>
      </c>
      <c r="I542" s="528" t="s">
        <v>3538</v>
      </c>
      <c r="J542" s="523">
        <v>2118.1</v>
      </c>
      <c r="K542" s="523">
        <v>56.690399999999997</v>
      </c>
      <c r="L542" s="524">
        <f t="shared" si="66"/>
        <v>37.362586963577606</v>
      </c>
      <c r="M542" s="525">
        <v>60</v>
      </c>
      <c r="N542" s="526">
        <f t="shared" si="67"/>
        <v>35.301666666666662</v>
      </c>
      <c r="O542" s="527">
        <f t="shared" ca="1" si="68"/>
        <v>0</v>
      </c>
      <c r="P542" s="36">
        <f t="shared" ca="1" si="65"/>
        <v>0</v>
      </c>
      <c r="Q542" s="387">
        <f t="shared" ca="1" si="62"/>
        <v>1</v>
      </c>
      <c r="R542" s="536" t="s">
        <v>3954</v>
      </c>
    </row>
    <row r="543" spans="2:18" s="4" customFormat="1" ht="107.25" customHeight="1" x14ac:dyDescent="0.25">
      <c r="B543" s="518">
        <v>44607</v>
      </c>
      <c r="C543" s="519"/>
      <c r="D543" s="520" t="s">
        <v>3952</v>
      </c>
      <c r="E543" s="520" t="s">
        <v>3966</v>
      </c>
      <c r="F543" s="521" t="s">
        <v>3962</v>
      </c>
      <c r="G543" s="548" t="s">
        <v>18</v>
      </c>
      <c r="H543" s="520" t="s">
        <v>1344</v>
      </c>
      <c r="I543" s="528" t="s">
        <v>3538</v>
      </c>
      <c r="J543" s="523">
        <v>2118.1</v>
      </c>
      <c r="K543" s="523">
        <v>56.690399999999997</v>
      </c>
      <c r="L543" s="524">
        <f t="shared" si="66"/>
        <v>37.362586963577606</v>
      </c>
      <c r="M543" s="525">
        <v>60</v>
      </c>
      <c r="N543" s="526">
        <f t="shared" si="67"/>
        <v>35.301666666666662</v>
      </c>
      <c r="O543" s="527">
        <f t="shared" ca="1" si="68"/>
        <v>0</v>
      </c>
      <c r="P543" s="36">
        <f t="shared" ca="1" si="65"/>
        <v>0</v>
      </c>
      <c r="Q543" s="387">
        <f t="shared" ca="1" si="62"/>
        <v>1</v>
      </c>
      <c r="R543" s="536" t="s">
        <v>3954</v>
      </c>
    </row>
    <row r="544" spans="2:18" s="4" customFormat="1" ht="107.25" customHeight="1" x14ac:dyDescent="0.25">
      <c r="B544" s="518">
        <v>44607</v>
      </c>
      <c r="C544" s="519"/>
      <c r="D544" s="520" t="s">
        <v>3952</v>
      </c>
      <c r="E544" s="520" t="s">
        <v>3967</v>
      </c>
      <c r="F544" s="521" t="s">
        <v>3962</v>
      </c>
      <c r="G544" s="548" t="s">
        <v>18</v>
      </c>
      <c r="H544" s="520" t="s">
        <v>1344</v>
      </c>
      <c r="I544" s="528" t="s">
        <v>3538</v>
      </c>
      <c r="J544" s="523">
        <v>2118.1</v>
      </c>
      <c r="K544" s="523">
        <v>56.690399999999997</v>
      </c>
      <c r="L544" s="524">
        <f t="shared" si="66"/>
        <v>37.362586963577606</v>
      </c>
      <c r="M544" s="525">
        <v>60</v>
      </c>
      <c r="N544" s="526">
        <f t="shared" si="67"/>
        <v>35.301666666666662</v>
      </c>
      <c r="O544" s="527">
        <f t="shared" ca="1" si="68"/>
        <v>0</v>
      </c>
      <c r="P544" s="36">
        <f t="shared" ca="1" si="65"/>
        <v>0</v>
      </c>
      <c r="Q544" s="387">
        <f t="shared" ca="1" si="62"/>
        <v>1</v>
      </c>
      <c r="R544" s="536" t="s">
        <v>3954</v>
      </c>
    </row>
    <row r="545" spans="2:18" s="4" customFormat="1" ht="107.25" customHeight="1" x14ac:dyDescent="0.25">
      <c r="B545" s="518">
        <v>44607</v>
      </c>
      <c r="C545" s="519"/>
      <c r="D545" s="520" t="s">
        <v>3952</v>
      </c>
      <c r="E545" s="520" t="s">
        <v>3968</v>
      </c>
      <c r="F545" s="521" t="s">
        <v>3962</v>
      </c>
      <c r="G545" s="548" t="s">
        <v>18</v>
      </c>
      <c r="H545" s="520" t="s">
        <v>1344</v>
      </c>
      <c r="I545" s="528" t="s">
        <v>3538</v>
      </c>
      <c r="J545" s="523">
        <v>2118.1</v>
      </c>
      <c r="K545" s="523">
        <v>56.690399999999997</v>
      </c>
      <c r="L545" s="524">
        <f t="shared" si="66"/>
        <v>37.362586963577606</v>
      </c>
      <c r="M545" s="525">
        <v>60</v>
      </c>
      <c r="N545" s="526">
        <f t="shared" si="67"/>
        <v>35.301666666666662</v>
      </c>
      <c r="O545" s="527">
        <f t="shared" ca="1" si="68"/>
        <v>0</v>
      </c>
      <c r="P545" s="36">
        <f t="shared" ca="1" si="65"/>
        <v>0</v>
      </c>
      <c r="Q545" s="387">
        <f t="shared" ca="1" si="62"/>
        <v>1</v>
      </c>
      <c r="R545" s="536" t="s">
        <v>3954</v>
      </c>
    </row>
    <row r="546" spans="2:18" s="4" customFormat="1" ht="107.25" customHeight="1" x14ac:dyDescent="0.25">
      <c r="B546" s="518">
        <v>44607</v>
      </c>
      <c r="C546" s="519"/>
      <c r="D546" s="520" t="s">
        <v>3952</v>
      </c>
      <c r="E546" s="520" t="s">
        <v>3969</v>
      </c>
      <c r="F546" s="521" t="s">
        <v>3962</v>
      </c>
      <c r="G546" s="548" t="s">
        <v>18</v>
      </c>
      <c r="H546" s="520" t="s">
        <v>1344</v>
      </c>
      <c r="I546" s="528" t="s">
        <v>3538</v>
      </c>
      <c r="J546" s="523">
        <v>2118.1</v>
      </c>
      <c r="K546" s="523">
        <v>56.690399999999997</v>
      </c>
      <c r="L546" s="524">
        <f t="shared" si="66"/>
        <v>37.362586963577606</v>
      </c>
      <c r="M546" s="525">
        <v>60</v>
      </c>
      <c r="N546" s="526">
        <f t="shared" si="67"/>
        <v>35.301666666666662</v>
      </c>
      <c r="O546" s="527">
        <f t="shared" ca="1" si="68"/>
        <v>0</v>
      </c>
      <c r="P546" s="36">
        <f t="shared" ca="1" si="65"/>
        <v>0</v>
      </c>
      <c r="Q546" s="387">
        <f t="shared" ca="1" si="62"/>
        <v>1</v>
      </c>
      <c r="R546" s="536" t="s">
        <v>3954</v>
      </c>
    </row>
    <row r="547" spans="2:18" s="4" customFormat="1" ht="107.25" customHeight="1" x14ac:dyDescent="0.25">
      <c r="B547" s="518">
        <v>44607</v>
      </c>
      <c r="C547" s="519"/>
      <c r="D547" s="520" t="s">
        <v>3952</v>
      </c>
      <c r="E547" s="520" t="s">
        <v>3970</v>
      </c>
      <c r="F547" s="521" t="s">
        <v>3962</v>
      </c>
      <c r="G547" s="548" t="s">
        <v>18</v>
      </c>
      <c r="H547" s="520" t="s">
        <v>1344</v>
      </c>
      <c r="I547" s="528" t="s">
        <v>3538</v>
      </c>
      <c r="J547" s="523">
        <v>2118.1</v>
      </c>
      <c r="K547" s="523">
        <v>56.690399999999997</v>
      </c>
      <c r="L547" s="524">
        <f t="shared" si="66"/>
        <v>37.362586963577606</v>
      </c>
      <c r="M547" s="525">
        <v>60</v>
      </c>
      <c r="N547" s="526">
        <f t="shared" si="67"/>
        <v>35.301666666666662</v>
      </c>
      <c r="O547" s="527">
        <f t="shared" ca="1" si="68"/>
        <v>0</v>
      </c>
      <c r="P547" s="36">
        <f t="shared" ca="1" si="65"/>
        <v>0</v>
      </c>
      <c r="Q547" s="387">
        <f t="shared" ca="1" si="62"/>
        <v>1</v>
      </c>
      <c r="R547" s="536" t="s">
        <v>3954</v>
      </c>
    </row>
    <row r="548" spans="2:18" s="4" customFormat="1" ht="107.25" customHeight="1" x14ac:dyDescent="0.25">
      <c r="B548" s="518">
        <v>44607</v>
      </c>
      <c r="C548" s="519"/>
      <c r="D548" s="520" t="s">
        <v>3952</v>
      </c>
      <c r="E548" s="520" t="s">
        <v>3971</v>
      </c>
      <c r="F548" s="521" t="s">
        <v>3962</v>
      </c>
      <c r="G548" s="548" t="s">
        <v>18</v>
      </c>
      <c r="H548" s="520" t="s">
        <v>1344</v>
      </c>
      <c r="I548" s="528" t="s">
        <v>3538</v>
      </c>
      <c r="J548" s="523">
        <v>2118.1</v>
      </c>
      <c r="K548" s="523">
        <v>56.690399999999997</v>
      </c>
      <c r="L548" s="524">
        <f t="shared" si="66"/>
        <v>37.362586963577606</v>
      </c>
      <c r="M548" s="525">
        <v>60</v>
      </c>
      <c r="N548" s="526">
        <f t="shared" si="67"/>
        <v>35.301666666666662</v>
      </c>
      <c r="O548" s="527">
        <f t="shared" ca="1" si="68"/>
        <v>0</v>
      </c>
      <c r="P548" s="36">
        <f t="shared" ca="1" si="65"/>
        <v>0</v>
      </c>
      <c r="Q548" s="387">
        <f t="shared" ca="1" si="62"/>
        <v>1</v>
      </c>
      <c r="R548" s="536" t="s">
        <v>3954</v>
      </c>
    </row>
    <row r="549" spans="2:18" s="4" customFormat="1" ht="107.25" customHeight="1" x14ac:dyDescent="0.25">
      <c r="B549" s="518">
        <v>44607</v>
      </c>
      <c r="C549" s="519"/>
      <c r="D549" s="520" t="s">
        <v>3952</v>
      </c>
      <c r="E549" s="520" t="s">
        <v>3972</v>
      </c>
      <c r="F549" s="521" t="s">
        <v>3962</v>
      </c>
      <c r="G549" s="548" t="s">
        <v>18</v>
      </c>
      <c r="H549" s="520" t="s">
        <v>1344</v>
      </c>
      <c r="I549" s="528" t="s">
        <v>3538</v>
      </c>
      <c r="J549" s="523">
        <v>2118.1</v>
      </c>
      <c r="K549" s="523">
        <v>56.690399999999997</v>
      </c>
      <c r="L549" s="524">
        <f t="shared" si="66"/>
        <v>37.362586963577606</v>
      </c>
      <c r="M549" s="525">
        <v>60</v>
      </c>
      <c r="N549" s="526">
        <f t="shared" si="67"/>
        <v>35.301666666666662</v>
      </c>
      <c r="O549" s="527">
        <f t="shared" ca="1" si="68"/>
        <v>0</v>
      </c>
      <c r="P549" s="36">
        <f t="shared" ca="1" si="65"/>
        <v>0</v>
      </c>
      <c r="Q549" s="387">
        <f t="shared" ca="1" si="62"/>
        <v>1</v>
      </c>
      <c r="R549" s="536" t="s">
        <v>3954</v>
      </c>
    </row>
    <row r="550" spans="2:18" s="4" customFormat="1" ht="107.25" customHeight="1" x14ac:dyDescent="0.25">
      <c r="B550" s="518">
        <v>44607</v>
      </c>
      <c r="C550" s="519"/>
      <c r="D550" s="520" t="s">
        <v>3952</v>
      </c>
      <c r="E550" s="520" t="s">
        <v>3973</v>
      </c>
      <c r="F550" s="521" t="s">
        <v>3962</v>
      </c>
      <c r="G550" s="548" t="s">
        <v>18</v>
      </c>
      <c r="H550" s="520" t="s">
        <v>1344</v>
      </c>
      <c r="I550" s="528" t="s">
        <v>3538</v>
      </c>
      <c r="J550" s="523">
        <v>2118.1</v>
      </c>
      <c r="K550" s="523">
        <v>56.690399999999997</v>
      </c>
      <c r="L550" s="524">
        <f t="shared" si="66"/>
        <v>37.362586963577606</v>
      </c>
      <c r="M550" s="525">
        <v>60</v>
      </c>
      <c r="N550" s="526">
        <f t="shared" si="67"/>
        <v>35.301666666666662</v>
      </c>
      <c r="O550" s="527">
        <f t="shared" ca="1" si="68"/>
        <v>0</v>
      </c>
      <c r="P550" s="36">
        <f t="shared" ca="1" si="65"/>
        <v>0</v>
      </c>
      <c r="Q550" s="387">
        <f t="shared" ca="1" si="62"/>
        <v>1</v>
      </c>
      <c r="R550" s="536" t="s">
        <v>3954</v>
      </c>
    </row>
    <row r="551" spans="2:18" s="4" customFormat="1" ht="107.25" customHeight="1" x14ac:dyDescent="0.25">
      <c r="B551" s="518">
        <v>44607</v>
      </c>
      <c r="C551" s="519"/>
      <c r="D551" s="520" t="s">
        <v>3952</v>
      </c>
      <c r="E551" s="520" t="s">
        <v>3974</v>
      </c>
      <c r="F551" s="521" t="s">
        <v>3962</v>
      </c>
      <c r="G551" s="548" t="s">
        <v>18</v>
      </c>
      <c r="H551" s="520" t="s">
        <v>1344</v>
      </c>
      <c r="I551" s="528" t="s">
        <v>3538</v>
      </c>
      <c r="J551" s="523">
        <v>2118.1</v>
      </c>
      <c r="K551" s="523">
        <v>56.690399999999997</v>
      </c>
      <c r="L551" s="524">
        <f t="shared" si="66"/>
        <v>37.362586963577606</v>
      </c>
      <c r="M551" s="525">
        <v>60</v>
      </c>
      <c r="N551" s="526">
        <f t="shared" si="67"/>
        <v>35.301666666666662</v>
      </c>
      <c r="O551" s="527">
        <f t="shared" ca="1" si="68"/>
        <v>0</v>
      </c>
      <c r="P551" s="36">
        <f t="shared" ca="1" si="65"/>
        <v>0</v>
      </c>
      <c r="Q551" s="387">
        <f t="shared" ca="1" si="62"/>
        <v>1</v>
      </c>
      <c r="R551" s="536" t="s">
        <v>3954</v>
      </c>
    </row>
    <row r="552" spans="2:18" s="4" customFormat="1" ht="107.25" customHeight="1" x14ac:dyDescent="0.25">
      <c r="B552" s="518">
        <v>44607</v>
      </c>
      <c r="C552" s="519"/>
      <c r="D552" s="520" t="s">
        <v>3952</v>
      </c>
      <c r="E552" s="520" t="s">
        <v>3975</v>
      </c>
      <c r="F552" s="521" t="s">
        <v>3962</v>
      </c>
      <c r="G552" s="548" t="s">
        <v>18</v>
      </c>
      <c r="H552" s="520" t="s">
        <v>1344</v>
      </c>
      <c r="I552" s="528" t="s">
        <v>3538</v>
      </c>
      <c r="J552" s="523">
        <v>2118.1</v>
      </c>
      <c r="K552" s="523">
        <v>56.690399999999997</v>
      </c>
      <c r="L552" s="524">
        <f t="shared" si="66"/>
        <v>37.362586963577606</v>
      </c>
      <c r="M552" s="525">
        <v>60</v>
      </c>
      <c r="N552" s="526">
        <f t="shared" si="67"/>
        <v>35.301666666666662</v>
      </c>
      <c r="O552" s="527">
        <f t="shared" ca="1" si="68"/>
        <v>0</v>
      </c>
      <c r="P552" s="36">
        <f t="shared" ca="1" si="65"/>
        <v>0</v>
      </c>
      <c r="Q552" s="387">
        <f t="shared" ca="1" si="62"/>
        <v>1</v>
      </c>
      <c r="R552" s="536" t="s">
        <v>3954</v>
      </c>
    </row>
    <row r="553" spans="2:18" s="4" customFormat="1" ht="107.25" customHeight="1" x14ac:dyDescent="0.25">
      <c r="B553" s="518">
        <v>44607</v>
      </c>
      <c r="C553" s="519"/>
      <c r="D553" s="520" t="s">
        <v>3952</v>
      </c>
      <c r="E553" s="520" t="s">
        <v>3976</v>
      </c>
      <c r="F553" s="521" t="s">
        <v>3962</v>
      </c>
      <c r="G553" s="548" t="s">
        <v>18</v>
      </c>
      <c r="H553" s="520" t="s">
        <v>1344</v>
      </c>
      <c r="I553" s="528" t="s">
        <v>3538</v>
      </c>
      <c r="J553" s="523">
        <v>2118.1</v>
      </c>
      <c r="K553" s="523">
        <v>56.690399999999997</v>
      </c>
      <c r="L553" s="524">
        <f t="shared" si="66"/>
        <v>37.362586963577606</v>
      </c>
      <c r="M553" s="525">
        <v>60</v>
      </c>
      <c r="N553" s="526">
        <f t="shared" si="67"/>
        <v>35.301666666666662</v>
      </c>
      <c r="O553" s="527">
        <f t="shared" ca="1" si="68"/>
        <v>0</v>
      </c>
      <c r="P553" s="36">
        <f t="shared" ca="1" si="65"/>
        <v>0</v>
      </c>
      <c r="Q553" s="387">
        <f t="shared" ca="1" si="62"/>
        <v>1</v>
      </c>
      <c r="R553" s="536" t="s">
        <v>3954</v>
      </c>
    </row>
    <row r="554" spans="2:18" s="4" customFormat="1" ht="107.25" customHeight="1" x14ac:dyDescent="0.25">
      <c r="B554" s="518">
        <v>44607</v>
      </c>
      <c r="C554" s="519"/>
      <c r="D554" s="520" t="s">
        <v>3952</v>
      </c>
      <c r="E554" s="520" t="s">
        <v>3977</v>
      </c>
      <c r="F554" s="521" t="s">
        <v>3962</v>
      </c>
      <c r="G554" s="548" t="s">
        <v>18</v>
      </c>
      <c r="H554" s="520" t="s">
        <v>1344</v>
      </c>
      <c r="I554" s="528" t="s">
        <v>3538</v>
      </c>
      <c r="J554" s="523">
        <v>2118.1</v>
      </c>
      <c r="K554" s="523">
        <v>56.690399999999997</v>
      </c>
      <c r="L554" s="524">
        <f t="shared" si="66"/>
        <v>37.362586963577606</v>
      </c>
      <c r="M554" s="525">
        <v>60</v>
      </c>
      <c r="N554" s="526">
        <f t="shared" si="67"/>
        <v>35.301666666666662</v>
      </c>
      <c r="O554" s="527">
        <f t="shared" ca="1" si="68"/>
        <v>0</v>
      </c>
      <c r="P554" s="36">
        <f t="shared" ca="1" si="65"/>
        <v>0</v>
      </c>
      <c r="Q554" s="387">
        <f t="shared" ca="1" si="62"/>
        <v>1</v>
      </c>
      <c r="R554" s="536" t="s">
        <v>3954</v>
      </c>
    </row>
    <row r="555" spans="2:18" s="4" customFormat="1" ht="107.25" customHeight="1" x14ac:dyDescent="0.25">
      <c r="B555" s="518">
        <v>44607</v>
      </c>
      <c r="C555" s="519"/>
      <c r="D555" s="520" t="s">
        <v>3952</v>
      </c>
      <c r="E555" s="520" t="s">
        <v>3978</v>
      </c>
      <c r="F555" s="521" t="s">
        <v>3979</v>
      </c>
      <c r="G555" s="29" t="s">
        <v>3171</v>
      </c>
      <c r="H555" s="29"/>
      <c r="I555" s="528" t="s">
        <v>19</v>
      </c>
      <c r="J555" s="523">
        <v>82594.100000000006</v>
      </c>
      <c r="K555" s="523">
        <v>56.690399999999997</v>
      </c>
      <c r="L555" s="524">
        <f t="shared" si="66"/>
        <v>1456.9327434627382</v>
      </c>
      <c r="M555" s="525">
        <v>60</v>
      </c>
      <c r="N555" s="526">
        <f t="shared" si="67"/>
        <v>1376.5683333333334</v>
      </c>
      <c r="O555" s="527">
        <f t="shared" ca="1" si="68"/>
        <v>0</v>
      </c>
      <c r="P555" s="36">
        <f t="shared" ca="1" si="65"/>
        <v>0</v>
      </c>
      <c r="Q555" s="387">
        <f t="shared" ca="1" si="62"/>
        <v>1</v>
      </c>
      <c r="R555" s="536" t="s">
        <v>3954</v>
      </c>
    </row>
    <row r="556" spans="2:18" s="4" customFormat="1" ht="107.25" customHeight="1" x14ac:dyDescent="0.25">
      <c r="B556" s="518">
        <v>44607</v>
      </c>
      <c r="C556" s="519"/>
      <c r="D556" s="520" t="s">
        <v>3952</v>
      </c>
      <c r="E556" s="520" t="s">
        <v>3980</v>
      </c>
      <c r="F556" s="521" t="s">
        <v>3979</v>
      </c>
      <c r="G556" s="548" t="s">
        <v>18</v>
      </c>
      <c r="H556" s="520" t="s">
        <v>6990</v>
      </c>
      <c r="I556" s="528" t="s">
        <v>19</v>
      </c>
      <c r="J556" s="523">
        <v>82594.100000000006</v>
      </c>
      <c r="K556" s="523">
        <v>56.690399999999997</v>
      </c>
      <c r="L556" s="524">
        <f t="shared" si="66"/>
        <v>1456.9327434627382</v>
      </c>
      <c r="M556" s="525">
        <v>60</v>
      </c>
      <c r="N556" s="526">
        <f t="shared" si="67"/>
        <v>1376.5683333333334</v>
      </c>
      <c r="O556" s="527">
        <f t="shared" ca="1" si="68"/>
        <v>0</v>
      </c>
      <c r="P556" s="36">
        <f t="shared" ca="1" si="65"/>
        <v>0</v>
      </c>
      <c r="Q556" s="387">
        <f t="shared" ca="1" si="62"/>
        <v>1</v>
      </c>
      <c r="R556" s="536" t="s">
        <v>3954</v>
      </c>
    </row>
    <row r="557" spans="2:18" s="4" customFormat="1" ht="107.25" customHeight="1" x14ac:dyDescent="0.25">
      <c r="B557" s="518">
        <v>44607</v>
      </c>
      <c r="C557" s="519"/>
      <c r="D557" s="520" t="s">
        <v>3952</v>
      </c>
      <c r="E557" s="520" t="s">
        <v>3981</v>
      </c>
      <c r="F557" s="521" t="s">
        <v>4429</v>
      </c>
      <c r="G557" s="548" t="s">
        <v>18</v>
      </c>
      <c r="H557" s="520" t="s">
        <v>1344</v>
      </c>
      <c r="I557" s="528" t="s">
        <v>3538</v>
      </c>
      <c r="J557" s="523">
        <v>9222.2199999999993</v>
      </c>
      <c r="K557" s="523">
        <v>56.690399999999997</v>
      </c>
      <c r="L557" s="524">
        <f t="shared" si="66"/>
        <v>162.67692589927043</v>
      </c>
      <c r="M557" s="525">
        <v>60</v>
      </c>
      <c r="N557" s="526">
        <f t="shared" si="67"/>
        <v>153.70366666666666</v>
      </c>
      <c r="O557" s="527">
        <f t="shared" ca="1" si="68"/>
        <v>0</v>
      </c>
      <c r="P557" s="36">
        <f t="shared" ca="1" si="65"/>
        <v>0</v>
      </c>
      <c r="Q557" s="387">
        <f t="shared" ca="1" si="62"/>
        <v>1</v>
      </c>
      <c r="R557" s="536" t="s">
        <v>3954</v>
      </c>
    </row>
    <row r="558" spans="2:18" s="4" customFormat="1" ht="107.25" customHeight="1" x14ac:dyDescent="0.25">
      <c r="B558" s="518">
        <v>44607</v>
      </c>
      <c r="C558" s="519"/>
      <c r="D558" s="520" t="s">
        <v>3952</v>
      </c>
      <c r="E558" s="520" t="s">
        <v>3982</v>
      </c>
      <c r="F558" s="521" t="s">
        <v>4429</v>
      </c>
      <c r="G558" s="548" t="s">
        <v>18</v>
      </c>
      <c r="H558" s="520" t="s">
        <v>1344</v>
      </c>
      <c r="I558" s="528" t="s">
        <v>3538</v>
      </c>
      <c r="J558" s="523">
        <v>9222.2199999999993</v>
      </c>
      <c r="K558" s="523">
        <v>56.690399999999997</v>
      </c>
      <c r="L558" s="524">
        <f t="shared" si="66"/>
        <v>162.67692589927043</v>
      </c>
      <c r="M558" s="525">
        <v>60</v>
      </c>
      <c r="N558" s="526">
        <f t="shared" si="67"/>
        <v>153.70366666666666</v>
      </c>
      <c r="O558" s="527">
        <f t="shared" ca="1" si="68"/>
        <v>0</v>
      </c>
      <c r="P558" s="36">
        <f t="shared" ca="1" si="65"/>
        <v>0</v>
      </c>
      <c r="Q558" s="387">
        <f t="shared" ca="1" si="62"/>
        <v>1</v>
      </c>
      <c r="R558" s="536" t="s">
        <v>3954</v>
      </c>
    </row>
    <row r="559" spans="2:18" s="4" customFormat="1" ht="107.25" customHeight="1" x14ac:dyDescent="0.25">
      <c r="B559" s="518">
        <v>44607</v>
      </c>
      <c r="C559" s="519"/>
      <c r="D559" s="520" t="s">
        <v>3952</v>
      </c>
      <c r="E559" s="520" t="s">
        <v>3983</v>
      </c>
      <c r="F559" s="521" t="s">
        <v>4430</v>
      </c>
      <c r="G559" s="548" t="s">
        <v>18</v>
      </c>
      <c r="H559" s="520" t="s">
        <v>1344</v>
      </c>
      <c r="I559" s="528" t="s">
        <v>3538</v>
      </c>
      <c r="J559" s="523">
        <v>23505.599999999999</v>
      </c>
      <c r="K559" s="523">
        <v>56.690399999999997</v>
      </c>
      <c r="L559" s="524">
        <f t="shared" si="66"/>
        <v>414.63104864315653</v>
      </c>
      <c r="M559" s="525">
        <v>60</v>
      </c>
      <c r="N559" s="526">
        <f t="shared" si="67"/>
        <v>391.76</v>
      </c>
      <c r="O559" s="527">
        <f t="shared" ca="1" si="68"/>
        <v>0</v>
      </c>
      <c r="P559" s="36">
        <f t="shared" ca="1" si="65"/>
        <v>0</v>
      </c>
      <c r="Q559" s="387">
        <f t="shared" ca="1" si="62"/>
        <v>1</v>
      </c>
      <c r="R559" s="536" t="s">
        <v>3954</v>
      </c>
    </row>
    <row r="560" spans="2:18" s="4" customFormat="1" ht="107.25" customHeight="1" x14ac:dyDescent="0.25">
      <c r="B560" s="518">
        <v>44607</v>
      </c>
      <c r="C560" s="519"/>
      <c r="D560" s="520" t="s">
        <v>3952</v>
      </c>
      <c r="E560" s="520" t="s">
        <v>3984</v>
      </c>
      <c r="F560" s="521" t="s">
        <v>4430</v>
      </c>
      <c r="G560" s="548" t="s">
        <v>18</v>
      </c>
      <c r="H560" s="520" t="s">
        <v>1344</v>
      </c>
      <c r="I560" s="528" t="s">
        <v>3538</v>
      </c>
      <c r="J560" s="523">
        <v>23505.599999999999</v>
      </c>
      <c r="K560" s="523">
        <v>56.690399999999997</v>
      </c>
      <c r="L560" s="524">
        <f t="shared" si="66"/>
        <v>414.63104864315653</v>
      </c>
      <c r="M560" s="525">
        <v>60</v>
      </c>
      <c r="N560" s="526">
        <f t="shared" si="67"/>
        <v>391.76</v>
      </c>
      <c r="O560" s="527">
        <f t="shared" ca="1" si="68"/>
        <v>0</v>
      </c>
      <c r="P560" s="36">
        <f t="shared" ca="1" si="65"/>
        <v>0</v>
      </c>
      <c r="Q560" s="387">
        <f t="shared" ca="1" si="62"/>
        <v>1</v>
      </c>
      <c r="R560" s="536" t="s">
        <v>3954</v>
      </c>
    </row>
    <row r="561" spans="2:18" s="4" customFormat="1" ht="107.25" customHeight="1" x14ac:dyDescent="0.25">
      <c r="B561" s="518">
        <v>44607</v>
      </c>
      <c r="C561" s="519"/>
      <c r="D561" s="520" t="s">
        <v>3952</v>
      </c>
      <c r="E561" s="520" t="s">
        <v>3985</v>
      </c>
      <c r="F561" s="521" t="s">
        <v>3986</v>
      </c>
      <c r="G561" s="548" t="s">
        <v>18</v>
      </c>
      <c r="H561" s="520" t="s">
        <v>1344</v>
      </c>
      <c r="I561" s="528" t="s">
        <v>3538</v>
      </c>
      <c r="J561" s="523">
        <v>3534.1</v>
      </c>
      <c r="K561" s="523">
        <v>56.690399999999997</v>
      </c>
      <c r="L561" s="524">
        <f t="shared" si="66"/>
        <v>62.34036097822559</v>
      </c>
      <c r="M561" s="525">
        <v>60</v>
      </c>
      <c r="N561" s="526">
        <f t="shared" si="67"/>
        <v>58.901666666666664</v>
      </c>
      <c r="O561" s="527">
        <f t="shared" ca="1" si="68"/>
        <v>0</v>
      </c>
      <c r="P561" s="36">
        <f t="shared" ca="1" si="65"/>
        <v>0</v>
      </c>
      <c r="Q561" s="387">
        <f t="shared" ca="1" si="62"/>
        <v>1</v>
      </c>
      <c r="R561" s="536" t="s">
        <v>3954</v>
      </c>
    </row>
    <row r="562" spans="2:18" s="4" customFormat="1" ht="107.25" customHeight="1" x14ac:dyDescent="0.25">
      <c r="B562" s="518">
        <v>44607</v>
      </c>
      <c r="C562" s="519"/>
      <c r="D562" s="520" t="s">
        <v>3952</v>
      </c>
      <c r="E562" s="520" t="s">
        <v>3987</v>
      </c>
      <c r="F562" s="521" t="s">
        <v>3986</v>
      </c>
      <c r="G562" s="548" t="s">
        <v>18</v>
      </c>
      <c r="H562" s="520" t="s">
        <v>1344</v>
      </c>
      <c r="I562" s="528" t="s">
        <v>3538</v>
      </c>
      <c r="J562" s="523">
        <v>3534.1</v>
      </c>
      <c r="K562" s="523">
        <v>56.690399999999997</v>
      </c>
      <c r="L562" s="524">
        <f t="shared" si="66"/>
        <v>62.34036097822559</v>
      </c>
      <c r="M562" s="525">
        <v>60</v>
      </c>
      <c r="N562" s="526">
        <f t="shared" si="67"/>
        <v>58.901666666666664</v>
      </c>
      <c r="O562" s="527">
        <f t="shared" ca="1" si="68"/>
        <v>0</v>
      </c>
      <c r="P562" s="36">
        <f t="shared" ca="1" si="65"/>
        <v>0</v>
      </c>
      <c r="Q562" s="387">
        <f t="shared" ca="1" si="62"/>
        <v>1</v>
      </c>
      <c r="R562" s="536" t="s">
        <v>3954</v>
      </c>
    </row>
    <row r="563" spans="2:18" s="4" customFormat="1" ht="107.25" customHeight="1" x14ac:dyDescent="0.25">
      <c r="B563" s="546">
        <v>44607</v>
      </c>
      <c r="C563" s="547"/>
      <c r="D563" s="548" t="s">
        <v>3952</v>
      </c>
      <c r="E563" s="513" t="s">
        <v>3988</v>
      </c>
      <c r="F563" s="549" t="s">
        <v>3989</v>
      </c>
      <c r="G563" s="548" t="s">
        <v>3990</v>
      </c>
      <c r="H563" s="548" t="s">
        <v>1344</v>
      </c>
      <c r="I563" s="550" t="s">
        <v>3538</v>
      </c>
      <c r="J563" s="551">
        <v>15281</v>
      </c>
      <c r="K563" s="551">
        <v>56.690399999999997</v>
      </c>
      <c r="L563" s="552">
        <f t="shared" si="66"/>
        <v>269.5518112414095</v>
      </c>
      <c r="M563" s="526">
        <v>60</v>
      </c>
      <c r="N563" s="526">
        <f>+J563/M564</f>
        <v>254.68333333333334</v>
      </c>
      <c r="O563" s="553">
        <f t="shared" ca="1" si="68"/>
        <v>0</v>
      </c>
      <c r="P563" s="36">
        <f t="shared" ca="1" si="65"/>
        <v>0</v>
      </c>
      <c r="Q563" s="554">
        <f t="shared" ca="1" si="62"/>
        <v>1</v>
      </c>
      <c r="R563" s="555" t="s">
        <v>3954</v>
      </c>
    </row>
    <row r="564" spans="2:18" s="4" customFormat="1" ht="107.25" customHeight="1" x14ac:dyDescent="0.25">
      <c r="B564" s="546">
        <v>44607</v>
      </c>
      <c r="C564" s="547"/>
      <c r="D564" s="548" t="s">
        <v>3952</v>
      </c>
      <c r="E564" s="513" t="s">
        <v>3991</v>
      </c>
      <c r="F564" s="549" t="s">
        <v>3992</v>
      </c>
      <c r="G564" s="548" t="s">
        <v>3990</v>
      </c>
      <c r="H564" s="548" t="s">
        <v>1344</v>
      </c>
      <c r="I564" s="550" t="s">
        <v>3538</v>
      </c>
      <c r="J564" s="551">
        <v>15281</v>
      </c>
      <c r="K564" s="551">
        <v>56.690399999999997</v>
      </c>
      <c r="L564" s="552">
        <f t="shared" si="66"/>
        <v>269.5518112414095</v>
      </c>
      <c r="M564" s="526">
        <v>60</v>
      </c>
      <c r="N564" s="526">
        <f>+J564/M565</f>
        <v>254.68333333333334</v>
      </c>
      <c r="O564" s="553">
        <f t="shared" ca="1" si="68"/>
        <v>0</v>
      </c>
      <c r="P564" s="36">
        <f t="shared" ca="1" si="65"/>
        <v>0</v>
      </c>
      <c r="Q564" s="554">
        <f t="shared" ca="1" si="62"/>
        <v>1</v>
      </c>
      <c r="R564" s="555" t="s">
        <v>3954</v>
      </c>
    </row>
    <row r="565" spans="2:18" s="4" customFormat="1" ht="107.25" customHeight="1" x14ac:dyDescent="0.25">
      <c r="B565" s="546">
        <v>44607</v>
      </c>
      <c r="C565" s="547"/>
      <c r="D565" s="548" t="s">
        <v>3952</v>
      </c>
      <c r="E565" s="513" t="s">
        <v>3993</v>
      </c>
      <c r="F565" s="549" t="s">
        <v>3989</v>
      </c>
      <c r="G565" s="548" t="s">
        <v>3990</v>
      </c>
      <c r="H565" s="548" t="s">
        <v>1344</v>
      </c>
      <c r="I565" s="550" t="s">
        <v>3538</v>
      </c>
      <c r="J565" s="551">
        <v>15281</v>
      </c>
      <c r="K565" s="551">
        <v>56.690399999999997</v>
      </c>
      <c r="L565" s="552">
        <f t="shared" si="66"/>
        <v>269.5518112414095</v>
      </c>
      <c r="M565" s="526">
        <v>60</v>
      </c>
      <c r="N565" s="526">
        <f t="shared" ref="N565:N572" si="69">+J565/M573</f>
        <v>254.68333333333334</v>
      </c>
      <c r="O565" s="553">
        <f t="shared" ca="1" si="68"/>
        <v>0</v>
      </c>
      <c r="P565" s="36">
        <f t="shared" ca="1" si="65"/>
        <v>0</v>
      </c>
      <c r="Q565" s="554">
        <f t="shared" ca="1" si="62"/>
        <v>1</v>
      </c>
      <c r="R565" s="555" t="s">
        <v>3954</v>
      </c>
    </row>
    <row r="566" spans="2:18" s="4" customFormat="1" ht="107.25" customHeight="1" x14ac:dyDescent="0.25">
      <c r="B566" s="546">
        <v>44607</v>
      </c>
      <c r="C566" s="547"/>
      <c r="D566" s="548" t="s">
        <v>3952</v>
      </c>
      <c r="E566" s="513" t="s">
        <v>3994</v>
      </c>
      <c r="F566" s="549" t="s">
        <v>3995</v>
      </c>
      <c r="G566" s="548" t="s">
        <v>18</v>
      </c>
      <c r="H566" s="548" t="s">
        <v>1344</v>
      </c>
      <c r="I566" s="550" t="s">
        <v>3538</v>
      </c>
      <c r="J566" s="551">
        <v>584.1</v>
      </c>
      <c r="K566" s="551">
        <v>56.690399999999997</v>
      </c>
      <c r="L566" s="552">
        <f t="shared" si="66"/>
        <v>10.303331781042294</v>
      </c>
      <c r="M566" s="526">
        <v>48</v>
      </c>
      <c r="N566" s="526">
        <f t="shared" si="69"/>
        <v>9.7350000000000012</v>
      </c>
      <c r="O566" s="553">
        <f t="shared" ca="1" si="68"/>
        <v>0</v>
      </c>
      <c r="P566" s="36">
        <f t="shared" ca="1" si="65"/>
        <v>0</v>
      </c>
      <c r="Q566" s="554">
        <f t="shared" ca="1" si="62"/>
        <v>1</v>
      </c>
      <c r="R566" s="555" t="s">
        <v>3954</v>
      </c>
    </row>
    <row r="567" spans="2:18" s="4" customFormat="1" ht="107.25" customHeight="1" x14ac:dyDescent="0.25">
      <c r="B567" s="546">
        <v>44607</v>
      </c>
      <c r="C567" s="547"/>
      <c r="D567" s="548" t="s">
        <v>3952</v>
      </c>
      <c r="E567" s="513" t="s">
        <v>3996</v>
      </c>
      <c r="F567" s="549" t="s">
        <v>3995</v>
      </c>
      <c r="G567" s="548" t="s">
        <v>18</v>
      </c>
      <c r="H567" s="548" t="s">
        <v>1344</v>
      </c>
      <c r="I567" s="550" t="s">
        <v>3538</v>
      </c>
      <c r="J567" s="551">
        <v>584.1</v>
      </c>
      <c r="K567" s="551">
        <v>56.690399999999997</v>
      </c>
      <c r="L567" s="552">
        <f t="shared" si="66"/>
        <v>10.303331781042294</v>
      </c>
      <c r="M567" s="526">
        <v>48</v>
      </c>
      <c r="N567" s="526">
        <f t="shared" si="69"/>
        <v>9.7350000000000012</v>
      </c>
      <c r="O567" s="553">
        <f t="shared" ca="1" si="68"/>
        <v>0</v>
      </c>
      <c r="P567" s="36">
        <f t="shared" ca="1" si="65"/>
        <v>0</v>
      </c>
      <c r="Q567" s="554">
        <f t="shared" ca="1" si="62"/>
        <v>1</v>
      </c>
      <c r="R567" s="555" t="s">
        <v>3954</v>
      </c>
    </row>
    <row r="568" spans="2:18" s="4" customFormat="1" ht="107.25" customHeight="1" x14ac:dyDescent="0.25">
      <c r="B568" s="546">
        <v>44607</v>
      </c>
      <c r="C568" s="547"/>
      <c r="D568" s="548" t="s">
        <v>3952</v>
      </c>
      <c r="E568" s="513" t="s">
        <v>3997</v>
      </c>
      <c r="F568" s="549" t="s">
        <v>3995</v>
      </c>
      <c r="G568" s="548" t="s">
        <v>18</v>
      </c>
      <c r="H568" s="548" t="s">
        <v>1344</v>
      </c>
      <c r="I568" s="550" t="s">
        <v>3538</v>
      </c>
      <c r="J568" s="551">
        <v>584.1</v>
      </c>
      <c r="K568" s="551">
        <v>56.690399999999997</v>
      </c>
      <c r="L568" s="552">
        <f t="shared" si="66"/>
        <v>10.303331781042294</v>
      </c>
      <c r="M568" s="526">
        <v>48</v>
      </c>
      <c r="N568" s="526">
        <f t="shared" si="69"/>
        <v>9.7350000000000012</v>
      </c>
      <c r="O568" s="553">
        <f t="shared" ca="1" si="68"/>
        <v>0</v>
      </c>
      <c r="P568" s="36">
        <f t="shared" ca="1" si="65"/>
        <v>0</v>
      </c>
      <c r="Q568" s="554">
        <f t="shared" ca="1" si="62"/>
        <v>1</v>
      </c>
      <c r="R568" s="555" t="s">
        <v>3954</v>
      </c>
    </row>
    <row r="569" spans="2:18" s="4" customFormat="1" ht="107.25" customHeight="1" x14ac:dyDescent="0.25">
      <c r="B569" s="546">
        <v>44607</v>
      </c>
      <c r="C569" s="547"/>
      <c r="D569" s="548" t="s">
        <v>3952</v>
      </c>
      <c r="E569" s="513" t="s">
        <v>3998</v>
      </c>
      <c r="F569" s="549" t="s">
        <v>3995</v>
      </c>
      <c r="G569" s="548" t="s">
        <v>18</v>
      </c>
      <c r="H569" s="548" t="s">
        <v>1344</v>
      </c>
      <c r="I569" s="550" t="s">
        <v>3538</v>
      </c>
      <c r="J569" s="551">
        <v>584.1</v>
      </c>
      <c r="K569" s="551">
        <v>56.690399999999997</v>
      </c>
      <c r="L569" s="552">
        <f t="shared" si="66"/>
        <v>10.303331781042294</v>
      </c>
      <c r="M569" s="526">
        <v>48</v>
      </c>
      <c r="N569" s="526">
        <f t="shared" si="69"/>
        <v>9.7350000000000012</v>
      </c>
      <c r="O569" s="553">
        <f t="shared" ca="1" si="68"/>
        <v>0</v>
      </c>
      <c r="P569" s="36">
        <f t="shared" ca="1" si="65"/>
        <v>0</v>
      </c>
      <c r="Q569" s="554">
        <f t="shared" ca="1" si="62"/>
        <v>1</v>
      </c>
      <c r="R569" s="555" t="s">
        <v>3954</v>
      </c>
    </row>
    <row r="570" spans="2:18" s="4" customFormat="1" ht="107.25" customHeight="1" x14ac:dyDescent="0.25">
      <c r="B570" s="546">
        <v>44607</v>
      </c>
      <c r="C570" s="547"/>
      <c r="D570" s="548" t="s">
        <v>3952</v>
      </c>
      <c r="E570" s="513" t="s">
        <v>3999</v>
      </c>
      <c r="F570" s="549" t="s">
        <v>3995</v>
      </c>
      <c r="G570" s="548" t="s">
        <v>18</v>
      </c>
      <c r="H570" s="548" t="s">
        <v>1344</v>
      </c>
      <c r="I570" s="550" t="s">
        <v>3538</v>
      </c>
      <c r="J570" s="551">
        <v>584.1</v>
      </c>
      <c r="K570" s="551">
        <v>56.690399999999997</v>
      </c>
      <c r="L570" s="552">
        <f t="shared" si="66"/>
        <v>10.303331781042294</v>
      </c>
      <c r="M570" s="526">
        <v>48</v>
      </c>
      <c r="N570" s="526">
        <f t="shared" si="69"/>
        <v>9.7350000000000012</v>
      </c>
      <c r="O570" s="553">
        <f t="shared" ca="1" si="68"/>
        <v>0</v>
      </c>
      <c r="P570" s="36">
        <f t="shared" ca="1" si="65"/>
        <v>0</v>
      </c>
      <c r="Q570" s="554">
        <f t="shared" ca="1" si="62"/>
        <v>1</v>
      </c>
      <c r="R570" s="555" t="s">
        <v>3954</v>
      </c>
    </row>
    <row r="571" spans="2:18" s="4" customFormat="1" ht="107.25" customHeight="1" x14ac:dyDescent="0.25">
      <c r="B571" s="546">
        <v>44607</v>
      </c>
      <c r="C571" s="547"/>
      <c r="D571" s="548" t="s">
        <v>3952</v>
      </c>
      <c r="E571" s="513" t="s">
        <v>4000</v>
      </c>
      <c r="F571" s="549" t="s">
        <v>3995</v>
      </c>
      <c r="G571" s="548" t="s">
        <v>18</v>
      </c>
      <c r="H571" s="548" t="s">
        <v>1344</v>
      </c>
      <c r="I571" s="550" t="s">
        <v>3538</v>
      </c>
      <c r="J571" s="551">
        <v>584.1</v>
      </c>
      <c r="K571" s="551">
        <v>56.690399999999997</v>
      </c>
      <c r="L571" s="552">
        <f t="shared" si="66"/>
        <v>10.303331781042294</v>
      </c>
      <c r="M571" s="526">
        <v>48</v>
      </c>
      <c r="N571" s="526">
        <f t="shared" si="69"/>
        <v>9.7350000000000012</v>
      </c>
      <c r="O571" s="553">
        <f t="shared" ca="1" si="68"/>
        <v>0</v>
      </c>
      <c r="P571" s="36">
        <f t="shared" ca="1" si="65"/>
        <v>0</v>
      </c>
      <c r="Q571" s="554">
        <f t="shared" ca="1" si="62"/>
        <v>1</v>
      </c>
      <c r="R571" s="555" t="s">
        <v>3954</v>
      </c>
    </row>
    <row r="572" spans="2:18" s="4" customFormat="1" ht="107.25" customHeight="1" x14ac:dyDescent="0.25">
      <c r="B572" s="546">
        <v>44607</v>
      </c>
      <c r="C572" s="547"/>
      <c r="D572" s="548" t="s">
        <v>3952</v>
      </c>
      <c r="E572" s="513" t="s">
        <v>4001</v>
      </c>
      <c r="F572" s="549" t="s">
        <v>4002</v>
      </c>
      <c r="G572" s="548" t="s">
        <v>4003</v>
      </c>
      <c r="H572" s="548" t="s">
        <v>1344</v>
      </c>
      <c r="I572" s="550" t="s">
        <v>3538</v>
      </c>
      <c r="J572" s="551">
        <v>44250</v>
      </c>
      <c r="K572" s="551">
        <v>56.690399999999997</v>
      </c>
      <c r="L572" s="552">
        <f t="shared" si="66"/>
        <v>780.55543795774952</v>
      </c>
      <c r="M572" s="526">
        <v>60</v>
      </c>
      <c r="N572" s="526">
        <f t="shared" si="69"/>
        <v>737.5</v>
      </c>
      <c r="O572" s="553">
        <f t="shared" ca="1" si="68"/>
        <v>0</v>
      </c>
      <c r="P572" s="36">
        <f t="shared" ca="1" si="65"/>
        <v>0</v>
      </c>
      <c r="Q572" s="554">
        <f t="shared" ca="1" si="62"/>
        <v>1</v>
      </c>
      <c r="R572" s="555" t="s">
        <v>3954</v>
      </c>
    </row>
    <row r="573" spans="2:18" s="4" customFormat="1" ht="107.25" customHeight="1" x14ac:dyDescent="0.25">
      <c r="B573" s="546">
        <v>44607</v>
      </c>
      <c r="C573" s="547"/>
      <c r="D573" s="548" t="s">
        <v>3952</v>
      </c>
      <c r="E573" s="548" t="s">
        <v>4004</v>
      </c>
      <c r="F573" s="549" t="s">
        <v>4005</v>
      </c>
      <c r="G573" s="548" t="s">
        <v>18</v>
      </c>
      <c r="H573" s="548" t="s">
        <v>1344</v>
      </c>
      <c r="I573" s="550" t="s">
        <v>3538</v>
      </c>
      <c r="J573" s="551">
        <v>9084.82</v>
      </c>
      <c r="K573" s="551">
        <v>56.690399999999997</v>
      </c>
      <c r="L573" s="552">
        <f t="shared" si="66"/>
        <v>160.25323511564568</v>
      </c>
      <c r="M573" s="526">
        <v>60</v>
      </c>
      <c r="N573" s="526">
        <f>+J573/M574</f>
        <v>151.41366666666667</v>
      </c>
      <c r="O573" s="553">
        <f t="shared" ca="1" si="68"/>
        <v>0</v>
      </c>
      <c r="P573" s="36">
        <f t="shared" ca="1" si="65"/>
        <v>0</v>
      </c>
      <c r="Q573" s="554">
        <f t="shared" ca="1" si="62"/>
        <v>1</v>
      </c>
      <c r="R573" s="555" t="s">
        <v>3954</v>
      </c>
    </row>
    <row r="574" spans="2:18" s="4" customFormat="1" ht="107.25" customHeight="1" x14ac:dyDescent="0.25">
      <c r="B574" s="546">
        <v>44607</v>
      </c>
      <c r="C574" s="547"/>
      <c r="D574" s="548" t="s">
        <v>3952</v>
      </c>
      <c r="E574" s="548" t="s">
        <v>4006</v>
      </c>
      <c r="F574" s="549" t="s">
        <v>4007</v>
      </c>
      <c r="G574" s="548" t="s">
        <v>18</v>
      </c>
      <c r="H574" s="548" t="s">
        <v>1344</v>
      </c>
      <c r="I574" s="550" t="s">
        <v>3538</v>
      </c>
      <c r="J574" s="551">
        <v>9084.82</v>
      </c>
      <c r="K574" s="551">
        <v>56.690399999999997</v>
      </c>
      <c r="L574" s="552">
        <f t="shared" si="66"/>
        <v>160.25323511564568</v>
      </c>
      <c r="M574" s="526">
        <v>60</v>
      </c>
      <c r="N574" s="526">
        <f t="shared" ref="N574:N623" si="70">+J574/M574</f>
        <v>151.41366666666667</v>
      </c>
      <c r="O574" s="553">
        <f t="shared" ca="1" si="68"/>
        <v>0</v>
      </c>
      <c r="P574" s="36">
        <f t="shared" ca="1" si="65"/>
        <v>0</v>
      </c>
      <c r="Q574" s="554">
        <f t="shared" ca="1" si="62"/>
        <v>1</v>
      </c>
      <c r="R574" s="555" t="s">
        <v>3954</v>
      </c>
    </row>
    <row r="575" spans="2:18" s="4" customFormat="1" ht="107.25" customHeight="1" x14ac:dyDescent="0.25">
      <c r="B575" s="546">
        <v>44607</v>
      </c>
      <c r="C575" s="547"/>
      <c r="D575" s="548" t="s">
        <v>3952</v>
      </c>
      <c r="E575" s="548" t="s">
        <v>4008</v>
      </c>
      <c r="F575" s="549" t="s">
        <v>4009</v>
      </c>
      <c r="G575" s="548" t="s">
        <v>18</v>
      </c>
      <c r="H575" s="548" t="s">
        <v>1344</v>
      </c>
      <c r="I575" s="550" t="s">
        <v>3538</v>
      </c>
      <c r="J575" s="551">
        <v>9084.82</v>
      </c>
      <c r="K575" s="551">
        <v>56.690399999999997</v>
      </c>
      <c r="L575" s="552">
        <f t="shared" si="66"/>
        <v>160.25323511564568</v>
      </c>
      <c r="M575" s="526">
        <v>60</v>
      </c>
      <c r="N575" s="526">
        <f t="shared" si="70"/>
        <v>151.41366666666667</v>
      </c>
      <c r="O575" s="553">
        <f t="shared" ca="1" si="68"/>
        <v>0</v>
      </c>
      <c r="P575" s="36">
        <f t="shared" ca="1" si="65"/>
        <v>0</v>
      </c>
      <c r="Q575" s="554">
        <f t="shared" ca="1" si="62"/>
        <v>1</v>
      </c>
      <c r="R575" s="555" t="s">
        <v>3954</v>
      </c>
    </row>
    <row r="576" spans="2:18" s="4" customFormat="1" ht="107.25" customHeight="1" x14ac:dyDescent="0.25">
      <c r="B576" s="546">
        <v>44607</v>
      </c>
      <c r="C576" s="547"/>
      <c r="D576" s="548" t="s">
        <v>3952</v>
      </c>
      <c r="E576" s="548" t="s">
        <v>4010</v>
      </c>
      <c r="F576" s="549" t="s">
        <v>4009</v>
      </c>
      <c r="G576" s="548" t="s">
        <v>18</v>
      </c>
      <c r="H576" s="548" t="s">
        <v>1344</v>
      </c>
      <c r="I576" s="550" t="s">
        <v>3538</v>
      </c>
      <c r="J576" s="551">
        <v>9084.82</v>
      </c>
      <c r="K576" s="551">
        <v>56.690399999999997</v>
      </c>
      <c r="L576" s="552">
        <f t="shared" si="66"/>
        <v>160.25323511564568</v>
      </c>
      <c r="M576" s="526">
        <v>60</v>
      </c>
      <c r="N576" s="526">
        <f t="shared" si="70"/>
        <v>151.41366666666667</v>
      </c>
      <c r="O576" s="553">
        <f t="shared" ca="1" si="68"/>
        <v>0</v>
      </c>
      <c r="P576" s="36">
        <f t="shared" ca="1" si="65"/>
        <v>0</v>
      </c>
      <c r="Q576" s="554">
        <f t="shared" ca="1" si="62"/>
        <v>1</v>
      </c>
      <c r="R576" s="555" t="s">
        <v>3954</v>
      </c>
    </row>
    <row r="577" spans="2:18" s="4" customFormat="1" ht="107.25" customHeight="1" x14ac:dyDescent="0.25">
      <c r="B577" s="546">
        <v>44607</v>
      </c>
      <c r="C577" s="547"/>
      <c r="D577" s="548" t="s">
        <v>3952</v>
      </c>
      <c r="E577" s="548" t="s">
        <v>4011</v>
      </c>
      <c r="F577" s="549" t="s">
        <v>4009</v>
      </c>
      <c r="G577" s="548" t="s">
        <v>18</v>
      </c>
      <c r="H577" s="548" t="s">
        <v>1344</v>
      </c>
      <c r="I577" s="550" t="s">
        <v>3538</v>
      </c>
      <c r="J577" s="551">
        <v>9084.82</v>
      </c>
      <c r="K577" s="551">
        <v>56.690399999999997</v>
      </c>
      <c r="L577" s="552">
        <f t="shared" si="66"/>
        <v>160.25323511564568</v>
      </c>
      <c r="M577" s="526">
        <v>60</v>
      </c>
      <c r="N577" s="526">
        <f t="shared" si="70"/>
        <v>151.41366666666667</v>
      </c>
      <c r="O577" s="553">
        <f t="shared" ca="1" si="68"/>
        <v>0</v>
      </c>
      <c r="P577" s="36">
        <f t="shared" ca="1" si="65"/>
        <v>0</v>
      </c>
      <c r="Q577" s="554">
        <f t="shared" ca="1" si="62"/>
        <v>1</v>
      </c>
      <c r="R577" s="555" t="s">
        <v>3954</v>
      </c>
    </row>
    <row r="578" spans="2:18" s="4" customFormat="1" ht="107.25" customHeight="1" x14ac:dyDescent="0.25">
      <c r="B578" s="546">
        <v>44607</v>
      </c>
      <c r="C578" s="547"/>
      <c r="D578" s="548" t="s">
        <v>3952</v>
      </c>
      <c r="E578" s="548" t="s">
        <v>4012</v>
      </c>
      <c r="F578" s="549" t="s">
        <v>4007</v>
      </c>
      <c r="G578" s="548" t="s">
        <v>18</v>
      </c>
      <c r="H578" s="548" t="s">
        <v>1344</v>
      </c>
      <c r="I578" s="550" t="s">
        <v>3538</v>
      </c>
      <c r="J578" s="551">
        <v>9084.82</v>
      </c>
      <c r="K578" s="551">
        <v>56.690399999999997</v>
      </c>
      <c r="L578" s="552">
        <f t="shared" si="66"/>
        <v>160.25323511564568</v>
      </c>
      <c r="M578" s="526">
        <v>60</v>
      </c>
      <c r="N578" s="526">
        <f t="shared" si="70"/>
        <v>151.41366666666667</v>
      </c>
      <c r="O578" s="553">
        <f t="shared" ca="1" si="68"/>
        <v>0</v>
      </c>
      <c r="P578" s="36">
        <f t="shared" ca="1" si="65"/>
        <v>0</v>
      </c>
      <c r="Q578" s="554">
        <f t="shared" ca="1" si="62"/>
        <v>1</v>
      </c>
      <c r="R578" s="555" t="s">
        <v>3954</v>
      </c>
    </row>
    <row r="579" spans="2:18" s="4" customFormat="1" ht="107.25" customHeight="1" x14ac:dyDescent="0.25">
      <c r="B579" s="546">
        <v>44607</v>
      </c>
      <c r="C579" s="547"/>
      <c r="D579" s="548" t="s">
        <v>3952</v>
      </c>
      <c r="E579" s="548" t="s">
        <v>4013</v>
      </c>
      <c r="F579" s="549" t="s">
        <v>4007</v>
      </c>
      <c r="G579" s="548" t="s">
        <v>18</v>
      </c>
      <c r="H579" s="548" t="s">
        <v>1344</v>
      </c>
      <c r="I579" s="550" t="s">
        <v>3538</v>
      </c>
      <c r="J579" s="551">
        <v>9084.82</v>
      </c>
      <c r="K579" s="551">
        <v>56.690399999999997</v>
      </c>
      <c r="L579" s="552">
        <f t="shared" si="66"/>
        <v>160.25323511564568</v>
      </c>
      <c r="M579" s="526">
        <v>60</v>
      </c>
      <c r="N579" s="526">
        <f t="shared" si="70"/>
        <v>151.41366666666667</v>
      </c>
      <c r="O579" s="553">
        <f t="shared" ca="1" si="68"/>
        <v>0</v>
      </c>
      <c r="P579" s="36">
        <f t="shared" ca="1" si="65"/>
        <v>0</v>
      </c>
      <c r="Q579" s="554">
        <f t="shared" ca="1" si="62"/>
        <v>1</v>
      </c>
      <c r="R579" s="555" t="s">
        <v>3954</v>
      </c>
    </row>
    <row r="580" spans="2:18" s="4" customFormat="1" ht="107.25" customHeight="1" x14ac:dyDescent="0.25">
      <c r="B580" s="546">
        <v>44607</v>
      </c>
      <c r="C580" s="547"/>
      <c r="D580" s="548" t="s">
        <v>3952</v>
      </c>
      <c r="E580" s="548" t="s">
        <v>4014</v>
      </c>
      <c r="F580" s="549" t="s">
        <v>4007</v>
      </c>
      <c r="G580" s="548" t="s">
        <v>18</v>
      </c>
      <c r="H580" s="548" t="s">
        <v>1344</v>
      </c>
      <c r="I580" s="550" t="s">
        <v>3538</v>
      </c>
      <c r="J580" s="551">
        <v>9084.82</v>
      </c>
      <c r="K580" s="551">
        <v>56.690399999999997</v>
      </c>
      <c r="L580" s="552">
        <f t="shared" si="66"/>
        <v>160.25323511564568</v>
      </c>
      <c r="M580" s="526">
        <v>60</v>
      </c>
      <c r="N580" s="526">
        <f t="shared" si="70"/>
        <v>151.41366666666667</v>
      </c>
      <c r="O580" s="553">
        <f t="shared" ca="1" si="68"/>
        <v>0</v>
      </c>
      <c r="P580" s="36">
        <f t="shared" ca="1" si="65"/>
        <v>0</v>
      </c>
      <c r="Q580" s="554">
        <f t="shared" ca="1" si="62"/>
        <v>1</v>
      </c>
      <c r="R580" s="555" t="s">
        <v>3954</v>
      </c>
    </row>
    <row r="581" spans="2:18" s="4" customFormat="1" ht="107.25" customHeight="1" x14ac:dyDescent="0.25">
      <c r="B581" s="546">
        <v>44607</v>
      </c>
      <c r="C581" s="547"/>
      <c r="D581" s="548" t="s">
        <v>3952</v>
      </c>
      <c r="E581" s="548" t="s">
        <v>4015</v>
      </c>
      <c r="F581" s="549" t="s">
        <v>4007</v>
      </c>
      <c r="G581" s="548" t="s">
        <v>18</v>
      </c>
      <c r="H581" s="548" t="s">
        <v>1344</v>
      </c>
      <c r="I581" s="550" t="s">
        <v>3538</v>
      </c>
      <c r="J581" s="551">
        <v>9084.82</v>
      </c>
      <c r="K581" s="551">
        <v>56.690399999999997</v>
      </c>
      <c r="L581" s="552">
        <f t="shared" si="66"/>
        <v>160.25323511564568</v>
      </c>
      <c r="M581" s="526">
        <v>60</v>
      </c>
      <c r="N581" s="526">
        <f t="shared" si="70"/>
        <v>151.41366666666667</v>
      </c>
      <c r="O581" s="553">
        <f t="shared" ca="1" si="68"/>
        <v>0</v>
      </c>
      <c r="P581" s="36">
        <f t="shared" ca="1" si="65"/>
        <v>0</v>
      </c>
      <c r="Q581" s="554">
        <f t="shared" ca="1" si="62"/>
        <v>1</v>
      </c>
      <c r="R581" s="555" t="s">
        <v>3954</v>
      </c>
    </row>
    <row r="582" spans="2:18" s="4" customFormat="1" ht="107.25" customHeight="1" x14ac:dyDescent="0.25">
      <c r="B582" s="546">
        <v>44607</v>
      </c>
      <c r="C582" s="547"/>
      <c r="D582" s="548" t="s">
        <v>3952</v>
      </c>
      <c r="E582" s="548" t="s">
        <v>4016</v>
      </c>
      <c r="F582" s="549" t="s">
        <v>4007</v>
      </c>
      <c r="G582" s="548" t="s">
        <v>18</v>
      </c>
      <c r="H582" s="548" t="s">
        <v>1344</v>
      </c>
      <c r="I582" s="550" t="s">
        <v>3538</v>
      </c>
      <c r="J582" s="551">
        <v>9084.82</v>
      </c>
      <c r="K582" s="551">
        <v>56.690399999999997</v>
      </c>
      <c r="L582" s="552">
        <f t="shared" si="66"/>
        <v>160.25323511564568</v>
      </c>
      <c r="M582" s="526">
        <v>60</v>
      </c>
      <c r="N582" s="526">
        <f t="shared" si="70"/>
        <v>151.41366666666667</v>
      </c>
      <c r="O582" s="553">
        <f t="shared" ca="1" si="68"/>
        <v>0</v>
      </c>
      <c r="P582" s="36">
        <f t="shared" ca="1" si="65"/>
        <v>0</v>
      </c>
      <c r="Q582" s="554">
        <f t="shared" ca="1" si="62"/>
        <v>1</v>
      </c>
      <c r="R582" s="555" t="s">
        <v>3954</v>
      </c>
    </row>
    <row r="583" spans="2:18" s="4" customFormat="1" ht="107.25" customHeight="1" x14ac:dyDescent="0.25">
      <c r="B583" s="546">
        <v>44607</v>
      </c>
      <c r="C583" s="547"/>
      <c r="D583" s="548" t="s">
        <v>3952</v>
      </c>
      <c r="E583" s="548" t="s">
        <v>4017</v>
      </c>
      <c r="F583" s="549" t="s">
        <v>4018</v>
      </c>
      <c r="G583" s="548" t="s">
        <v>18</v>
      </c>
      <c r="H583" s="548" t="s">
        <v>1344</v>
      </c>
      <c r="I583" s="550" t="s">
        <v>3538</v>
      </c>
      <c r="J583" s="551">
        <v>90742</v>
      </c>
      <c r="K583" s="551">
        <v>56.690399999999997</v>
      </c>
      <c r="L583" s="552">
        <f t="shared" si="66"/>
        <v>1600.6590181053584</v>
      </c>
      <c r="M583" s="526">
        <v>60</v>
      </c>
      <c r="N583" s="526">
        <f t="shared" si="70"/>
        <v>1512.3666666666666</v>
      </c>
      <c r="O583" s="553">
        <f t="shared" ca="1" si="68"/>
        <v>0</v>
      </c>
      <c r="P583" s="36">
        <f t="shared" ca="1" si="65"/>
        <v>0</v>
      </c>
      <c r="Q583" s="554">
        <f t="shared" ca="1" si="62"/>
        <v>1</v>
      </c>
      <c r="R583" s="555" t="s">
        <v>3954</v>
      </c>
    </row>
    <row r="584" spans="2:18" s="4" customFormat="1" ht="107.25" customHeight="1" x14ac:dyDescent="0.25">
      <c r="B584" s="518">
        <v>44607</v>
      </c>
      <c r="C584" s="519"/>
      <c r="D584" s="520" t="s">
        <v>3952</v>
      </c>
      <c r="E584" s="520" t="s">
        <v>4019</v>
      </c>
      <c r="F584" s="521" t="s">
        <v>4018</v>
      </c>
      <c r="G584" s="548" t="s">
        <v>18</v>
      </c>
      <c r="H584" s="520" t="s">
        <v>1344</v>
      </c>
      <c r="I584" s="528" t="s">
        <v>3538</v>
      </c>
      <c r="J584" s="523">
        <v>90742</v>
      </c>
      <c r="K584" s="523">
        <v>56.690399999999997</v>
      </c>
      <c r="L584" s="524">
        <f t="shared" si="66"/>
        <v>1600.6590181053584</v>
      </c>
      <c r="M584" s="525">
        <v>60</v>
      </c>
      <c r="N584" s="526">
        <f t="shared" si="70"/>
        <v>1512.3666666666666</v>
      </c>
      <c r="O584" s="527">
        <f t="shared" ca="1" si="68"/>
        <v>0</v>
      </c>
      <c r="P584" s="36">
        <f t="shared" ca="1" si="65"/>
        <v>0</v>
      </c>
      <c r="Q584" s="387">
        <f t="shared" ca="1" si="62"/>
        <v>1</v>
      </c>
      <c r="R584" s="536" t="s">
        <v>3954</v>
      </c>
    </row>
    <row r="585" spans="2:18" s="4" customFormat="1" ht="107.25" customHeight="1" x14ac:dyDescent="0.25">
      <c r="B585" s="518">
        <v>44607</v>
      </c>
      <c r="C585" s="519"/>
      <c r="D585" s="520" t="s">
        <v>3952</v>
      </c>
      <c r="E585" s="520" t="s">
        <v>4020</v>
      </c>
      <c r="F585" s="521" t="s">
        <v>4021</v>
      </c>
      <c r="G585" s="548" t="s">
        <v>18</v>
      </c>
      <c r="H585" s="520" t="s">
        <v>1344</v>
      </c>
      <c r="I585" s="528" t="s">
        <v>3538</v>
      </c>
      <c r="J585" s="523">
        <v>5074</v>
      </c>
      <c r="K585" s="523">
        <v>56.690399999999997</v>
      </c>
      <c r="L585" s="524">
        <f t="shared" si="66"/>
        <v>89.503690219155274</v>
      </c>
      <c r="M585" s="525">
        <v>60</v>
      </c>
      <c r="N585" s="526">
        <f t="shared" si="70"/>
        <v>84.566666666666663</v>
      </c>
      <c r="O585" s="527">
        <f t="shared" ca="1" si="68"/>
        <v>0</v>
      </c>
      <c r="P585" s="36">
        <f t="shared" ref="P585:P648" ca="1" si="71">IF(OR(J585=0,M585=0,O585=0),0,J585-(N585*O585))</f>
        <v>0</v>
      </c>
      <c r="Q585" s="387">
        <f t="shared" ca="1" si="62"/>
        <v>1</v>
      </c>
      <c r="R585" s="536" t="s">
        <v>3954</v>
      </c>
    </row>
    <row r="586" spans="2:18" s="4" customFormat="1" ht="107.25" customHeight="1" x14ac:dyDescent="0.25">
      <c r="B586" s="518">
        <v>44607</v>
      </c>
      <c r="C586" s="519"/>
      <c r="D586" s="520" t="s">
        <v>3952</v>
      </c>
      <c r="E586" s="520" t="s">
        <v>4022</v>
      </c>
      <c r="F586" s="521" t="s">
        <v>4021</v>
      </c>
      <c r="G586" s="548" t="s">
        <v>18</v>
      </c>
      <c r="H586" s="520" t="s">
        <v>1344</v>
      </c>
      <c r="I586" s="528" t="s">
        <v>3538</v>
      </c>
      <c r="J586" s="523">
        <v>5074</v>
      </c>
      <c r="K586" s="523">
        <v>56.690399999999997</v>
      </c>
      <c r="L586" s="524">
        <f t="shared" si="66"/>
        <v>89.503690219155274</v>
      </c>
      <c r="M586" s="525">
        <v>60</v>
      </c>
      <c r="N586" s="526">
        <f t="shared" si="70"/>
        <v>84.566666666666663</v>
      </c>
      <c r="O586" s="527">
        <f t="shared" ca="1" si="68"/>
        <v>0</v>
      </c>
      <c r="P586" s="36">
        <f t="shared" ca="1" si="71"/>
        <v>0</v>
      </c>
      <c r="Q586" s="387">
        <f t="shared" ca="1" si="62"/>
        <v>1</v>
      </c>
      <c r="R586" s="536" t="s">
        <v>3954</v>
      </c>
    </row>
    <row r="587" spans="2:18" s="4" customFormat="1" ht="107.25" customHeight="1" x14ac:dyDescent="0.25">
      <c r="B587" s="518">
        <v>44607</v>
      </c>
      <c r="C587" s="519"/>
      <c r="D587" s="520" t="s">
        <v>3952</v>
      </c>
      <c r="E587" s="520" t="s">
        <v>4023</v>
      </c>
      <c r="F587" s="521" t="s">
        <v>4021</v>
      </c>
      <c r="G587" s="548" t="s">
        <v>18</v>
      </c>
      <c r="H587" s="520" t="s">
        <v>1344</v>
      </c>
      <c r="I587" s="528" t="s">
        <v>3538</v>
      </c>
      <c r="J587" s="523">
        <v>5074</v>
      </c>
      <c r="K587" s="523">
        <v>56.690399999999997</v>
      </c>
      <c r="L587" s="524">
        <f t="shared" si="66"/>
        <v>89.503690219155274</v>
      </c>
      <c r="M587" s="525">
        <v>60</v>
      </c>
      <c r="N587" s="526">
        <f t="shared" si="70"/>
        <v>84.566666666666663</v>
      </c>
      <c r="O587" s="527">
        <f t="shared" ca="1" si="68"/>
        <v>0</v>
      </c>
      <c r="P587" s="36">
        <f t="shared" ca="1" si="71"/>
        <v>0</v>
      </c>
      <c r="Q587" s="387">
        <f t="shared" ca="1" si="62"/>
        <v>1</v>
      </c>
      <c r="R587" s="536" t="s">
        <v>3954</v>
      </c>
    </row>
    <row r="588" spans="2:18" s="4" customFormat="1" ht="107.25" customHeight="1" x14ac:dyDescent="0.25">
      <c r="B588" s="518">
        <v>44607</v>
      </c>
      <c r="C588" s="519"/>
      <c r="D588" s="520" t="s">
        <v>3952</v>
      </c>
      <c r="E588" s="520" t="s">
        <v>4024</v>
      </c>
      <c r="F588" s="521" t="s">
        <v>4021</v>
      </c>
      <c r="G588" s="548" t="s">
        <v>18</v>
      </c>
      <c r="H588" s="520" t="s">
        <v>1344</v>
      </c>
      <c r="I588" s="528" t="s">
        <v>3538</v>
      </c>
      <c r="J588" s="523">
        <v>5074</v>
      </c>
      <c r="K588" s="523">
        <v>56.690399999999997</v>
      </c>
      <c r="L588" s="524">
        <f t="shared" si="66"/>
        <v>89.503690219155274</v>
      </c>
      <c r="M588" s="525">
        <v>60</v>
      </c>
      <c r="N588" s="526">
        <f t="shared" si="70"/>
        <v>84.566666666666663</v>
      </c>
      <c r="O588" s="527">
        <f t="shared" ca="1" si="68"/>
        <v>0</v>
      </c>
      <c r="P588" s="36">
        <f t="shared" ca="1" si="71"/>
        <v>0</v>
      </c>
      <c r="Q588" s="387">
        <f t="shared" ca="1" si="62"/>
        <v>1</v>
      </c>
      <c r="R588" s="536" t="s">
        <v>3954</v>
      </c>
    </row>
    <row r="589" spans="2:18" s="4" customFormat="1" ht="107.25" customHeight="1" x14ac:dyDescent="0.25">
      <c r="B589" s="518">
        <v>44607</v>
      </c>
      <c r="C589" s="519"/>
      <c r="D589" s="520" t="s">
        <v>3952</v>
      </c>
      <c r="E589" s="520" t="s">
        <v>4025</v>
      </c>
      <c r="F589" s="521" t="s">
        <v>4021</v>
      </c>
      <c r="G589" s="548" t="s">
        <v>18</v>
      </c>
      <c r="H589" s="520" t="s">
        <v>1344</v>
      </c>
      <c r="I589" s="528" t="s">
        <v>3538</v>
      </c>
      <c r="J589" s="523">
        <v>5074</v>
      </c>
      <c r="K589" s="523">
        <v>56.690399999999997</v>
      </c>
      <c r="L589" s="524">
        <f t="shared" ref="L589:L623" si="72">+J589/K589</f>
        <v>89.503690219155274</v>
      </c>
      <c r="M589" s="525">
        <v>60</v>
      </c>
      <c r="N589" s="526">
        <f t="shared" si="70"/>
        <v>84.566666666666663</v>
      </c>
      <c r="O589" s="527">
        <f t="shared" ref="O589:O623" ca="1" si="73">IF(C589&lt;&gt;0,(ROUND((NOW()-C589)/30,0)),0)</f>
        <v>0</v>
      </c>
      <c r="P589" s="36">
        <f t="shared" ca="1" si="71"/>
        <v>0</v>
      </c>
      <c r="Q589" s="387">
        <f t="shared" ca="1" si="62"/>
        <v>1</v>
      </c>
      <c r="R589" s="536" t="s">
        <v>3954</v>
      </c>
    </row>
    <row r="590" spans="2:18" s="4" customFormat="1" ht="107.25" customHeight="1" x14ac:dyDescent="0.25">
      <c r="B590" s="518">
        <v>44607</v>
      </c>
      <c r="C590" s="519"/>
      <c r="D590" s="520" t="s">
        <v>3952</v>
      </c>
      <c r="E590" s="520" t="s">
        <v>4026</v>
      </c>
      <c r="F590" s="521" t="s">
        <v>4021</v>
      </c>
      <c r="G590" s="548" t="s">
        <v>18</v>
      </c>
      <c r="H590" s="520" t="s">
        <v>1344</v>
      </c>
      <c r="I590" s="528" t="s">
        <v>3538</v>
      </c>
      <c r="J590" s="523">
        <v>5074</v>
      </c>
      <c r="K590" s="523">
        <v>56.690399999999997</v>
      </c>
      <c r="L590" s="524">
        <f t="shared" si="72"/>
        <v>89.503690219155274</v>
      </c>
      <c r="M590" s="525">
        <v>60</v>
      </c>
      <c r="N590" s="526">
        <f t="shared" si="70"/>
        <v>84.566666666666663</v>
      </c>
      <c r="O590" s="527">
        <f t="shared" ca="1" si="73"/>
        <v>0</v>
      </c>
      <c r="P590" s="36">
        <f t="shared" ca="1" si="71"/>
        <v>0</v>
      </c>
      <c r="Q590" s="387">
        <f t="shared" ca="1" si="62"/>
        <v>1</v>
      </c>
      <c r="R590" s="536" t="s">
        <v>3954</v>
      </c>
    </row>
    <row r="591" spans="2:18" s="4" customFormat="1" ht="107.25" customHeight="1" x14ac:dyDescent="0.25">
      <c r="B591" s="518">
        <v>44607</v>
      </c>
      <c r="C591" s="519"/>
      <c r="D591" s="520" t="s">
        <v>3952</v>
      </c>
      <c r="E591" s="520" t="s">
        <v>4027</v>
      </c>
      <c r="F591" s="521" t="s">
        <v>4021</v>
      </c>
      <c r="G591" s="548" t="s">
        <v>18</v>
      </c>
      <c r="H591" s="520" t="s">
        <v>1344</v>
      </c>
      <c r="I591" s="528" t="s">
        <v>3538</v>
      </c>
      <c r="J591" s="523">
        <v>5074</v>
      </c>
      <c r="K591" s="523">
        <v>56.690399999999997</v>
      </c>
      <c r="L591" s="524">
        <f t="shared" si="72"/>
        <v>89.503690219155274</v>
      </c>
      <c r="M591" s="525">
        <v>60</v>
      </c>
      <c r="N591" s="526">
        <f t="shared" si="70"/>
        <v>84.566666666666663</v>
      </c>
      <c r="O591" s="527">
        <f t="shared" ca="1" si="73"/>
        <v>0</v>
      </c>
      <c r="P591" s="36">
        <f t="shared" ca="1" si="71"/>
        <v>0</v>
      </c>
      <c r="Q591" s="387">
        <f t="shared" ca="1" si="62"/>
        <v>1</v>
      </c>
      <c r="R591" s="536" t="s">
        <v>3954</v>
      </c>
    </row>
    <row r="592" spans="2:18" s="4" customFormat="1" ht="107.25" customHeight="1" x14ac:dyDescent="0.25">
      <c r="B592" s="518">
        <v>44607</v>
      </c>
      <c r="C592" s="519"/>
      <c r="D592" s="520" t="s">
        <v>3952</v>
      </c>
      <c r="E592" s="520" t="s">
        <v>4028</v>
      </c>
      <c r="F592" s="521" t="s">
        <v>4021</v>
      </c>
      <c r="G592" s="548" t="s">
        <v>18</v>
      </c>
      <c r="H592" s="520" t="s">
        <v>1344</v>
      </c>
      <c r="I592" s="528" t="s">
        <v>3538</v>
      </c>
      <c r="J592" s="523">
        <v>5074</v>
      </c>
      <c r="K592" s="523">
        <v>56.690399999999997</v>
      </c>
      <c r="L592" s="524">
        <f t="shared" si="72"/>
        <v>89.503690219155274</v>
      </c>
      <c r="M592" s="525">
        <v>60</v>
      </c>
      <c r="N592" s="526">
        <f t="shared" si="70"/>
        <v>84.566666666666663</v>
      </c>
      <c r="O592" s="527">
        <f t="shared" ca="1" si="73"/>
        <v>0</v>
      </c>
      <c r="P592" s="36">
        <f t="shared" ca="1" si="71"/>
        <v>0</v>
      </c>
      <c r="Q592" s="387">
        <f t="shared" ca="1" si="62"/>
        <v>1</v>
      </c>
      <c r="R592" s="536" t="s">
        <v>3954</v>
      </c>
    </row>
    <row r="593" spans="2:18" s="4" customFormat="1" ht="107.25" customHeight="1" x14ac:dyDescent="0.25">
      <c r="B593" s="518">
        <v>44607</v>
      </c>
      <c r="C593" s="519"/>
      <c r="D593" s="520" t="s">
        <v>3952</v>
      </c>
      <c r="E593" s="520" t="s">
        <v>4029</v>
      </c>
      <c r="F593" s="521" t="s">
        <v>4021</v>
      </c>
      <c r="G593" s="548" t="s">
        <v>18</v>
      </c>
      <c r="H593" s="520" t="s">
        <v>1344</v>
      </c>
      <c r="I593" s="528" t="s">
        <v>3538</v>
      </c>
      <c r="J593" s="523">
        <v>5074</v>
      </c>
      <c r="K593" s="523">
        <v>56.690399999999997</v>
      </c>
      <c r="L593" s="524">
        <f t="shared" si="72"/>
        <v>89.503690219155274</v>
      </c>
      <c r="M593" s="525">
        <v>60</v>
      </c>
      <c r="N593" s="526">
        <f t="shared" si="70"/>
        <v>84.566666666666663</v>
      </c>
      <c r="O593" s="527">
        <f t="shared" ca="1" si="73"/>
        <v>0</v>
      </c>
      <c r="P593" s="36">
        <f t="shared" ca="1" si="71"/>
        <v>0</v>
      </c>
      <c r="Q593" s="387">
        <f t="shared" ca="1" si="62"/>
        <v>1</v>
      </c>
      <c r="R593" s="536" t="s">
        <v>3954</v>
      </c>
    </row>
    <row r="594" spans="2:18" s="4" customFormat="1" ht="107.25" customHeight="1" x14ac:dyDescent="0.25">
      <c r="B594" s="518">
        <v>44607</v>
      </c>
      <c r="C594" s="519"/>
      <c r="D594" s="520" t="s">
        <v>3952</v>
      </c>
      <c r="E594" s="520" t="s">
        <v>4030</v>
      </c>
      <c r="F594" s="521" t="s">
        <v>4021</v>
      </c>
      <c r="G594" s="548" t="s">
        <v>18</v>
      </c>
      <c r="H594" s="520" t="s">
        <v>1344</v>
      </c>
      <c r="I594" s="528" t="s">
        <v>3538</v>
      </c>
      <c r="J594" s="523">
        <v>5074</v>
      </c>
      <c r="K594" s="523">
        <v>56.690399999999997</v>
      </c>
      <c r="L594" s="524">
        <f t="shared" si="72"/>
        <v>89.503690219155274</v>
      </c>
      <c r="M594" s="525">
        <v>60</v>
      </c>
      <c r="N594" s="526">
        <f t="shared" si="70"/>
        <v>84.566666666666663</v>
      </c>
      <c r="O594" s="527">
        <f t="shared" ca="1" si="73"/>
        <v>0</v>
      </c>
      <c r="P594" s="36">
        <f t="shared" ca="1" si="71"/>
        <v>0</v>
      </c>
      <c r="Q594" s="387">
        <f t="shared" ca="1" si="62"/>
        <v>1</v>
      </c>
      <c r="R594" s="536" t="s">
        <v>3954</v>
      </c>
    </row>
    <row r="595" spans="2:18" s="4" customFormat="1" ht="107.25" customHeight="1" x14ac:dyDescent="0.25">
      <c r="B595" s="518">
        <v>44607</v>
      </c>
      <c r="C595" s="519"/>
      <c r="D595" s="520" t="s">
        <v>3952</v>
      </c>
      <c r="E595" s="520" t="s">
        <v>4031</v>
      </c>
      <c r="F595" s="521" t="s">
        <v>4021</v>
      </c>
      <c r="G595" s="548" t="s">
        <v>18</v>
      </c>
      <c r="H595" s="520" t="s">
        <v>1344</v>
      </c>
      <c r="I595" s="528" t="s">
        <v>3538</v>
      </c>
      <c r="J595" s="523">
        <v>5074</v>
      </c>
      <c r="K595" s="523">
        <v>56.690399999999997</v>
      </c>
      <c r="L595" s="524">
        <f t="shared" si="72"/>
        <v>89.503690219155274</v>
      </c>
      <c r="M595" s="525">
        <v>60</v>
      </c>
      <c r="N595" s="526">
        <f t="shared" si="70"/>
        <v>84.566666666666663</v>
      </c>
      <c r="O595" s="527">
        <f t="shared" ca="1" si="73"/>
        <v>0</v>
      </c>
      <c r="P595" s="36">
        <f t="shared" ca="1" si="71"/>
        <v>0</v>
      </c>
      <c r="Q595" s="387">
        <f t="shared" ca="1" si="62"/>
        <v>1</v>
      </c>
      <c r="R595" s="536" t="s">
        <v>3954</v>
      </c>
    </row>
    <row r="596" spans="2:18" s="4" customFormat="1" ht="107.25" customHeight="1" x14ac:dyDescent="0.25">
      <c r="B596" s="518">
        <v>44607</v>
      </c>
      <c r="C596" s="519"/>
      <c r="D596" s="520" t="s">
        <v>3952</v>
      </c>
      <c r="E596" s="520" t="s">
        <v>4032</v>
      </c>
      <c r="F596" s="521" t="s">
        <v>4021</v>
      </c>
      <c r="G596" s="548" t="s">
        <v>18</v>
      </c>
      <c r="H596" s="520" t="s">
        <v>1344</v>
      </c>
      <c r="I596" s="528" t="s">
        <v>3538</v>
      </c>
      <c r="J596" s="523">
        <v>5074</v>
      </c>
      <c r="K596" s="523">
        <v>56.690399999999997</v>
      </c>
      <c r="L596" s="524">
        <f t="shared" si="72"/>
        <v>89.503690219155274</v>
      </c>
      <c r="M596" s="525">
        <v>60</v>
      </c>
      <c r="N596" s="526">
        <f t="shared" si="70"/>
        <v>84.566666666666663</v>
      </c>
      <c r="O596" s="527">
        <f t="shared" ca="1" si="73"/>
        <v>0</v>
      </c>
      <c r="P596" s="36">
        <f t="shared" ca="1" si="71"/>
        <v>0</v>
      </c>
      <c r="Q596" s="387">
        <f t="shared" ca="1" si="62"/>
        <v>1</v>
      </c>
      <c r="R596" s="536" t="s">
        <v>3954</v>
      </c>
    </row>
    <row r="597" spans="2:18" s="4" customFormat="1" ht="107.25" customHeight="1" x14ac:dyDescent="0.25">
      <c r="B597" s="518">
        <v>44607</v>
      </c>
      <c r="C597" s="519"/>
      <c r="D597" s="520" t="s">
        <v>3952</v>
      </c>
      <c r="E597" s="520" t="s">
        <v>4033</v>
      </c>
      <c r="F597" s="521" t="s">
        <v>4034</v>
      </c>
      <c r="G597" s="548" t="s">
        <v>18</v>
      </c>
      <c r="H597" s="520" t="s">
        <v>1344</v>
      </c>
      <c r="I597" s="528" t="s">
        <v>3538</v>
      </c>
      <c r="J597" s="523">
        <v>14130.5</v>
      </c>
      <c r="K597" s="523">
        <v>56.690399999999997</v>
      </c>
      <c r="L597" s="524">
        <f t="shared" si="72"/>
        <v>249.257369854508</v>
      </c>
      <c r="M597" s="525">
        <v>60</v>
      </c>
      <c r="N597" s="526">
        <f t="shared" si="70"/>
        <v>235.50833333333333</v>
      </c>
      <c r="O597" s="527">
        <f t="shared" ca="1" si="73"/>
        <v>0</v>
      </c>
      <c r="P597" s="36">
        <f t="shared" ca="1" si="71"/>
        <v>0</v>
      </c>
      <c r="Q597" s="387">
        <f t="shared" ca="1" si="62"/>
        <v>1</v>
      </c>
      <c r="R597" s="536" t="s">
        <v>3954</v>
      </c>
    </row>
    <row r="598" spans="2:18" s="4" customFormat="1" ht="107.25" customHeight="1" x14ac:dyDescent="0.25">
      <c r="B598" s="518">
        <v>44607</v>
      </c>
      <c r="C598" s="519"/>
      <c r="D598" s="520" t="s">
        <v>3952</v>
      </c>
      <c r="E598" s="520" t="s">
        <v>4035</v>
      </c>
      <c r="F598" s="521" t="s">
        <v>4034</v>
      </c>
      <c r="G598" s="548" t="s">
        <v>18</v>
      </c>
      <c r="H598" s="520" t="s">
        <v>1344</v>
      </c>
      <c r="I598" s="528" t="s">
        <v>3538</v>
      </c>
      <c r="J598" s="523">
        <v>14130.5</v>
      </c>
      <c r="K598" s="523">
        <v>56.690399999999997</v>
      </c>
      <c r="L598" s="524">
        <f t="shared" si="72"/>
        <v>249.257369854508</v>
      </c>
      <c r="M598" s="525">
        <v>60</v>
      </c>
      <c r="N598" s="526">
        <f t="shared" si="70"/>
        <v>235.50833333333333</v>
      </c>
      <c r="O598" s="527">
        <f t="shared" ca="1" si="73"/>
        <v>0</v>
      </c>
      <c r="P598" s="36">
        <f t="shared" ca="1" si="71"/>
        <v>0</v>
      </c>
      <c r="Q598" s="387">
        <f t="shared" ca="1" si="62"/>
        <v>1</v>
      </c>
      <c r="R598" s="536" t="s">
        <v>3954</v>
      </c>
    </row>
    <row r="599" spans="2:18" s="4" customFormat="1" ht="107.25" customHeight="1" x14ac:dyDescent="0.25">
      <c r="B599" s="518">
        <v>44607</v>
      </c>
      <c r="C599" s="519"/>
      <c r="D599" s="520" t="s">
        <v>3952</v>
      </c>
      <c r="E599" s="520" t="s">
        <v>4036</v>
      </c>
      <c r="F599" s="521" t="s">
        <v>4034</v>
      </c>
      <c r="G599" s="548" t="s">
        <v>18</v>
      </c>
      <c r="H599" s="520" t="s">
        <v>1344</v>
      </c>
      <c r="I599" s="528" t="s">
        <v>3538</v>
      </c>
      <c r="J599" s="523">
        <v>14130.5</v>
      </c>
      <c r="K599" s="523">
        <v>56.690399999999997</v>
      </c>
      <c r="L599" s="524">
        <f t="shared" si="72"/>
        <v>249.257369854508</v>
      </c>
      <c r="M599" s="525">
        <v>60</v>
      </c>
      <c r="N599" s="526">
        <f t="shared" si="70"/>
        <v>235.50833333333333</v>
      </c>
      <c r="O599" s="527">
        <f t="shared" ca="1" si="73"/>
        <v>0</v>
      </c>
      <c r="P599" s="36">
        <f t="shared" ca="1" si="71"/>
        <v>0</v>
      </c>
      <c r="Q599" s="387">
        <f t="shared" ca="1" si="62"/>
        <v>1</v>
      </c>
      <c r="R599" s="536" t="s">
        <v>3954</v>
      </c>
    </row>
    <row r="600" spans="2:18" s="4" customFormat="1" ht="107.25" customHeight="1" x14ac:dyDescent="0.25">
      <c r="B600" s="518">
        <v>44607</v>
      </c>
      <c r="C600" s="519"/>
      <c r="D600" s="520" t="s">
        <v>3952</v>
      </c>
      <c r="E600" s="520" t="s">
        <v>4037</v>
      </c>
      <c r="F600" s="521" t="s">
        <v>4034</v>
      </c>
      <c r="G600" s="548" t="s">
        <v>18</v>
      </c>
      <c r="H600" s="520" t="s">
        <v>1344</v>
      </c>
      <c r="I600" s="528" t="s">
        <v>3538</v>
      </c>
      <c r="J600" s="523">
        <v>14130.5</v>
      </c>
      <c r="K600" s="523">
        <v>56.690399999999997</v>
      </c>
      <c r="L600" s="524">
        <f t="shared" si="72"/>
        <v>249.257369854508</v>
      </c>
      <c r="M600" s="525">
        <v>60</v>
      </c>
      <c r="N600" s="526">
        <f t="shared" si="70"/>
        <v>235.50833333333333</v>
      </c>
      <c r="O600" s="527">
        <f t="shared" ca="1" si="73"/>
        <v>0</v>
      </c>
      <c r="P600" s="36">
        <f t="shared" ca="1" si="71"/>
        <v>0</v>
      </c>
      <c r="Q600" s="387">
        <f t="shared" ca="1" si="62"/>
        <v>1</v>
      </c>
      <c r="R600" s="536" t="s">
        <v>3954</v>
      </c>
    </row>
    <row r="601" spans="2:18" s="4" customFormat="1" ht="107.25" customHeight="1" x14ac:dyDescent="0.25">
      <c r="B601" s="518">
        <v>44607</v>
      </c>
      <c r="C601" s="519"/>
      <c r="D601" s="520" t="s">
        <v>3952</v>
      </c>
      <c r="E601" s="520" t="s">
        <v>4038</v>
      </c>
      <c r="F601" s="521" t="s">
        <v>4034</v>
      </c>
      <c r="G601" s="548" t="s">
        <v>18</v>
      </c>
      <c r="H601" s="520" t="s">
        <v>1344</v>
      </c>
      <c r="I601" s="528" t="s">
        <v>3538</v>
      </c>
      <c r="J601" s="523">
        <v>14130.5</v>
      </c>
      <c r="K601" s="523">
        <v>56.690399999999997</v>
      </c>
      <c r="L601" s="524">
        <f t="shared" si="72"/>
        <v>249.257369854508</v>
      </c>
      <c r="M601" s="525">
        <v>60</v>
      </c>
      <c r="N601" s="526">
        <f t="shared" si="70"/>
        <v>235.50833333333333</v>
      </c>
      <c r="O601" s="527">
        <f t="shared" ca="1" si="73"/>
        <v>0</v>
      </c>
      <c r="P601" s="36">
        <f t="shared" ca="1" si="71"/>
        <v>0</v>
      </c>
      <c r="Q601" s="387">
        <f t="shared" ca="1" si="62"/>
        <v>1</v>
      </c>
      <c r="R601" s="536" t="s">
        <v>3954</v>
      </c>
    </row>
    <row r="602" spans="2:18" s="4" customFormat="1" ht="107.25" customHeight="1" x14ac:dyDescent="0.25">
      <c r="B602" s="518">
        <v>44607</v>
      </c>
      <c r="C602" s="519"/>
      <c r="D602" s="520" t="s">
        <v>3952</v>
      </c>
      <c r="E602" s="520" t="s">
        <v>4039</v>
      </c>
      <c r="F602" s="521" t="s">
        <v>4034</v>
      </c>
      <c r="G602" s="548" t="s">
        <v>18</v>
      </c>
      <c r="H602" s="520" t="s">
        <v>1344</v>
      </c>
      <c r="I602" s="528" t="s">
        <v>3538</v>
      </c>
      <c r="J602" s="523">
        <v>14130.5</v>
      </c>
      <c r="K602" s="523">
        <v>56.690399999999997</v>
      </c>
      <c r="L602" s="524">
        <f t="shared" si="72"/>
        <v>249.257369854508</v>
      </c>
      <c r="M602" s="525">
        <v>60</v>
      </c>
      <c r="N602" s="526">
        <f t="shared" si="70"/>
        <v>235.50833333333333</v>
      </c>
      <c r="O602" s="527">
        <f t="shared" ca="1" si="73"/>
        <v>0</v>
      </c>
      <c r="P602" s="36">
        <f t="shared" ca="1" si="71"/>
        <v>0</v>
      </c>
      <c r="Q602" s="387">
        <f t="shared" ca="1" si="62"/>
        <v>1</v>
      </c>
      <c r="R602" s="536" t="s">
        <v>3954</v>
      </c>
    </row>
    <row r="603" spans="2:18" s="4" customFormat="1" ht="107.25" customHeight="1" x14ac:dyDescent="0.25">
      <c r="B603" s="518">
        <v>44607</v>
      </c>
      <c r="C603" s="519"/>
      <c r="D603" s="520" t="s">
        <v>3952</v>
      </c>
      <c r="E603" s="520" t="s">
        <v>4040</v>
      </c>
      <c r="F603" s="521" t="s">
        <v>4034</v>
      </c>
      <c r="G603" s="548" t="s">
        <v>18</v>
      </c>
      <c r="H603" s="520" t="s">
        <v>1344</v>
      </c>
      <c r="I603" s="528" t="s">
        <v>3538</v>
      </c>
      <c r="J603" s="523">
        <v>14130.5</v>
      </c>
      <c r="K603" s="523">
        <v>56.690399999999997</v>
      </c>
      <c r="L603" s="524">
        <f t="shared" si="72"/>
        <v>249.257369854508</v>
      </c>
      <c r="M603" s="525">
        <v>60</v>
      </c>
      <c r="N603" s="526">
        <f t="shared" si="70"/>
        <v>235.50833333333333</v>
      </c>
      <c r="O603" s="527">
        <f t="shared" ca="1" si="73"/>
        <v>0</v>
      </c>
      <c r="P603" s="36">
        <f t="shared" ca="1" si="71"/>
        <v>0</v>
      </c>
      <c r="Q603" s="387">
        <f t="shared" ca="1" si="62"/>
        <v>1</v>
      </c>
      <c r="R603" s="536" t="s">
        <v>3954</v>
      </c>
    </row>
    <row r="604" spans="2:18" s="4" customFormat="1" ht="107.25" customHeight="1" x14ac:dyDescent="0.25">
      <c r="B604" s="518">
        <v>44607</v>
      </c>
      <c r="C604" s="519"/>
      <c r="D604" s="520" t="s">
        <v>3952</v>
      </c>
      <c r="E604" s="520" t="s">
        <v>4041</v>
      </c>
      <c r="F604" s="521" t="s">
        <v>4034</v>
      </c>
      <c r="G604" s="548" t="s">
        <v>18</v>
      </c>
      <c r="H604" s="520" t="s">
        <v>1344</v>
      </c>
      <c r="I604" s="528" t="s">
        <v>3538</v>
      </c>
      <c r="J604" s="523">
        <v>14130.5</v>
      </c>
      <c r="K604" s="523">
        <v>56.690399999999997</v>
      </c>
      <c r="L604" s="524">
        <f t="shared" si="72"/>
        <v>249.257369854508</v>
      </c>
      <c r="M604" s="525">
        <v>60</v>
      </c>
      <c r="N604" s="526">
        <f t="shared" si="70"/>
        <v>235.50833333333333</v>
      </c>
      <c r="O604" s="527">
        <f t="shared" ca="1" si="73"/>
        <v>0</v>
      </c>
      <c r="P604" s="36">
        <f t="shared" ca="1" si="71"/>
        <v>0</v>
      </c>
      <c r="Q604" s="387">
        <f t="shared" ca="1" si="62"/>
        <v>1</v>
      </c>
      <c r="R604" s="536" t="s">
        <v>3954</v>
      </c>
    </row>
    <row r="605" spans="2:18" s="4" customFormat="1" ht="107.25" customHeight="1" x14ac:dyDescent="0.25">
      <c r="B605" s="518">
        <v>44607</v>
      </c>
      <c r="C605" s="519"/>
      <c r="D605" s="520" t="s">
        <v>3952</v>
      </c>
      <c r="E605" s="520" t="s">
        <v>4042</v>
      </c>
      <c r="F605" s="521" t="s">
        <v>4043</v>
      </c>
      <c r="G605" s="548" t="s">
        <v>18</v>
      </c>
      <c r="H605" s="520" t="s">
        <v>1344</v>
      </c>
      <c r="I605" s="528" t="s">
        <v>3538</v>
      </c>
      <c r="J605" s="523">
        <v>14779.5</v>
      </c>
      <c r="K605" s="523">
        <v>56.690399999999997</v>
      </c>
      <c r="L605" s="524">
        <f t="shared" si="72"/>
        <v>260.70551627788831</v>
      </c>
      <c r="M605" s="525">
        <v>60</v>
      </c>
      <c r="N605" s="526">
        <f t="shared" si="70"/>
        <v>246.32499999999999</v>
      </c>
      <c r="O605" s="527">
        <f t="shared" ca="1" si="73"/>
        <v>0</v>
      </c>
      <c r="P605" s="36">
        <f t="shared" ca="1" si="71"/>
        <v>0</v>
      </c>
      <c r="Q605" s="387">
        <f t="shared" ca="1" si="62"/>
        <v>1</v>
      </c>
      <c r="R605" s="536" t="s">
        <v>3954</v>
      </c>
    </row>
    <row r="606" spans="2:18" s="4" customFormat="1" ht="107.25" customHeight="1" x14ac:dyDescent="0.25">
      <c r="B606" s="518">
        <v>44607</v>
      </c>
      <c r="C606" s="519"/>
      <c r="D606" s="520" t="s">
        <v>3952</v>
      </c>
      <c r="E606" s="520" t="s">
        <v>4044</v>
      </c>
      <c r="F606" s="521" t="s">
        <v>4045</v>
      </c>
      <c r="G606" s="548" t="s">
        <v>18</v>
      </c>
      <c r="H606" s="520" t="s">
        <v>1344</v>
      </c>
      <c r="I606" s="528" t="s">
        <v>3538</v>
      </c>
      <c r="J606" s="523">
        <v>9434.1</v>
      </c>
      <c r="K606" s="523">
        <v>56.690399999999997</v>
      </c>
      <c r="L606" s="524">
        <f t="shared" si="72"/>
        <v>166.41441937259219</v>
      </c>
      <c r="M606" s="525">
        <v>60</v>
      </c>
      <c r="N606" s="526">
        <f t="shared" si="70"/>
        <v>157.23500000000001</v>
      </c>
      <c r="O606" s="527">
        <f t="shared" ca="1" si="73"/>
        <v>0</v>
      </c>
      <c r="P606" s="36">
        <f t="shared" ca="1" si="71"/>
        <v>0</v>
      </c>
      <c r="Q606" s="387">
        <f t="shared" ca="1" si="62"/>
        <v>1</v>
      </c>
      <c r="R606" s="536" t="s">
        <v>3954</v>
      </c>
    </row>
    <row r="607" spans="2:18" s="4" customFormat="1" ht="107.25" customHeight="1" x14ac:dyDescent="0.25">
      <c r="B607" s="518">
        <v>44607</v>
      </c>
      <c r="C607" s="519"/>
      <c r="D607" s="520" t="s">
        <v>3952</v>
      </c>
      <c r="E607" s="520" t="s">
        <v>4046</v>
      </c>
      <c r="F607" s="521" t="s">
        <v>4045</v>
      </c>
      <c r="G607" s="548" t="s">
        <v>18</v>
      </c>
      <c r="H607" s="520" t="s">
        <v>1344</v>
      </c>
      <c r="I607" s="528" t="s">
        <v>3538</v>
      </c>
      <c r="J607" s="523">
        <v>9434.1</v>
      </c>
      <c r="K607" s="523">
        <v>56.690399999999997</v>
      </c>
      <c r="L607" s="524">
        <f t="shared" si="72"/>
        <v>166.41441937259219</v>
      </c>
      <c r="M607" s="525">
        <v>60</v>
      </c>
      <c r="N607" s="526">
        <f t="shared" si="70"/>
        <v>157.23500000000001</v>
      </c>
      <c r="O607" s="527">
        <f t="shared" ca="1" si="73"/>
        <v>0</v>
      </c>
      <c r="P607" s="36">
        <f t="shared" ca="1" si="71"/>
        <v>0</v>
      </c>
      <c r="Q607" s="387">
        <f t="shared" ca="1" si="62"/>
        <v>1</v>
      </c>
      <c r="R607" s="536" t="s">
        <v>3954</v>
      </c>
    </row>
    <row r="608" spans="2:18" s="4" customFormat="1" ht="107.25" customHeight="1" x14ac:dyDescent="0.25">
      <c r="B608" s="518">
        <v>44607</v>
      </c>
      <c r="C608" s="519"/>
      <c r="D608" s="520" t="s">
        <v>3952</v>
      </c>
      <c r="E608" s="520" t="s">
        <v>4047</v>
      </c>
      <c r="F608" s="521" t="s">
        <v>4045</v>
      </c>
      <c r="G608" s="548" t="s">
        <v>18</v>
      </c>
      <c r="H608" s="520" t="s">
        <v>1344</v>
      </c>
      <c r="I608" s="528" t="s">
        <v>3538</v>
      </c>
      <c r="J608" s="523">
        <v>9434.1</v>
      </c>
      <c r="K608" s="523">
        <v>56.690399999999997</v>
      </c>
      <c r="L608" s="524">
        <f t="shared" si="72"/>
        <v>166.41441937259219</v>
      </c>
      <c r="M608" s="525">
        <v>60</v>
      </c>
      <c r="N608" s="526">
        <f t="shared" si="70"/>
        <v>157.23500000000001</v>
      </c>
      <c r="O608" s="527">
        <f t="shared" ca="1" si="73"/>
        <v>0</v>
      </c>
      <c r="P608" s="36">
        <f t="shared" ca="1" si="71"/>
        <v>0</v>
      </c>
      <c r="Q608" s="387">
        <f t="shared" ca="1" si="62"/>
        <v>1</v>
      </c>
      <c r="R608" s="536" t="s">
        <v>3954</v>
      </c>
    </row>
    <row r="609" spans="2:18" s="4" customFormat="1" ht="107.25" customHeight="1" x14ac:dyDescent="0.25">
      <c r="B609" s="518">
        <v>44607</v>
      </c>
      <c r="C609" s="519"/>
      <c r="D609" s="520" t="s">
        <v>3952</v>
      </c>
      <c r="E609" s="520" t="s">
        <v>4048</v>
      </c>
      <c r="F609" s="521" t="s">
        <v>4049</v>
      </c>
      <c r="G609" s="548" t="s">
        <v>18</v>
      </c>
      <c r="H609" s="520" t="s">
        <v>1344</v>
      </c>
      <c r="I609" s="528" t="s">
        <v>3538</v>
      </c>
      <c r="J609" s="523">
        <v>5900</v>
      </c>
      <c r="K609" s="523">
        <v>56.690399999999997</v>
      </c>
      <c r="L609" s="524">
        <f t="shared" si="72"/>
        <v>104.0740583943666</v>
      </c>
      <c r="M609" s="525">
        <v>60</v>
      </c>
      <c r="N609" s="526">
        <f t="shared" si="70"/>
        <v>98.333333333333329</v>
      </c>
      <c r="O609" s="527">
        <f t="shared" ca="1" si="73"/>
        <v>0</v>
      </c>
      <c r="P609" s="36">
        <f t="shared" ca="1" si="71"/>
        <v>0</v>
      </c>
      <c r="Q609" s="387">
        <f t="shared" ca="1" si="62"/>
        <v>1</v>
      </c>
      <c r="R609" s="536" t="s">
        <v>3954</v>
      </c>
    </row>
    <row r="610" spans="2:18" s="4" customFormat="1" ht="107.25" customHeight="1" x14ac:dyDescent="0.25">
      <c r="B610" s="518">
        <v>44607</v>
      </c>
      <c r="C610" s="519"/>
      <c r="D610" s="520" t="s">
        <v>3952</v>
      </c>
      <c r="E610" s="520" t="s">
        <v>4050</v>
      </c>
      <c r="F610" s="521" t="s">
        <v>4049</v>
      </c>
      <c r="G610" s="548" t="s">
        <v>18</v>
      </c>
      <c r="H610" s="520" t="s">
        <v>1344</v>
      </c>
      <c r="I610" s="528" t="s">
        <v>3538</v>
      </c>
      <c r="J610" s="523">
        <v>5900</v>
      </c>
      <c r="K610" s="523">
        <v>56.690399999999997</v>
      </c>
      <c r="L610" s="524">
        <f t="shared" si="72"/>
        <v>104.0740583943666</v>
      </c>
      <c r="M610" s="525">
        <v>60</v>
      </c>
      <c r="N610" s="526">
        <f t="shared" si="70"/>
        <v>98.333333333333329</v>
      </c>
      <c r="O610" s="527">
        <f t="shared" ca="1" si="73"/>
        <v>0</v>
      </c>
      <c r="P610" s="36">
        <f t="shared" ca="1" si="71"/>
        <v>0</v>
      </c>
      <c r="Q610" s="387">
        <f t="shared" ca="1" si="62"/>
        <v>1</v>
      </c>
      <c r="R610" s="536" t="s">
        <v>3954</v>
      </c>
    </row>
    <row r="611" spans="2:18" s="4" customFormat="1" ht="107.25" customHeight="1" x14ac:dyDescent="0.25">
      <c r="B611" s="518">
        <v>44607</v>
      </c>
      <c r="C611" s="519"/>
      <c r="D611" s="520" t="s">
        <v>3952</v>
      </c>
      <c r="E611" s="520" t="s">
        <v>4051</v>
      </c>
      <c r="F611" s="521" t="s">
        <v>4049</v>
      </c>
      <c r="G611" s="548" t="s">
        <v>18</v>
      </c>
      <c r="H611" s="520" t="s">
        <v>1344</v>
      </c>
      <c r="I611" s="528" t="s">
        <v>3538</v>
      </c>
      <c r="J611" s="523">
        <v>5900</v>
      </c>
      <c r="K611" s="523">
        <v>56.690399999999997</v>
      </c>
      <c r="L611" s="524">
        <f t="shared" si="72"/>
        <v>104.0740583943666</v>
      </c>
      <c r="M611" s="525">
        <v>60</v>
      </c>
      <c r="N611" s="526">
        <f t="shared" si="70"/>
        <v>98.333333333333329</v>
      </c>
      <c r="O611" s="527">
        <f t="shared" ca="1" si="73"/>
        <v>0</v>
      </c>
      <c r="P611" s="36">
        <f t="shared" ca="1" si="71"/>
        <v>0</v>
      </c>
      <c r="Q611" s="387">
        <f t="shared" ca="1" si="62"/>
        <v>1</v>
      </c>
      <c r="R611" s="536" t="s">
        <v>3954</v>
      </c>
    </row>
    <row r="612" spans="2:18" s="4" customFormat="1" ht="107.25" customHeight="1" x14ac:dyDescent="0.25">
      <c r="B612" s="518">
        <v>44607</v>
      </c>
      <c r="C612" s="519"/>
      <c r="D612" s="520" t="s">
        <v>3952</v>
      </c>
      <c r="E612" s="520" t="s">
        <v>4052</v>
      </c>
      <c r="F612" s="521" t="s">
        <v>4049</v>
      </c>
      <c r="G612" s="548" t="s">
        <v>18</v>
      </c>
      <c r="H612" s="520" t="s">
        <v>1344</v>
      </c>
      <c r="I612" s="528" t="s">
        <v>3538</v>
      </c>
      <c r="J612" s="523">
        <v>5900</v>
      </c>
      <c r="K612" s="523">
        <v>56.690399999999997</v>
      </c>
      <c r="L612" s="524">
        <f t="shared" si="72"/>
        <v>104.0740583943666</v>
      </c>
      <c r="M612" s="525">
        <v>60</v>
      </c>
      <c r="N612" s="526">
        <f t="shared" si="70"/>
        <v>98.333333333333329</v>
      </c>
      <c r="O612" s="527">
        <f t="shared" ca="1" si="73"/>
        <v>0</v>
      </c>
      <c r="P612" s="36">
        <f t="shared" ca="1" si="71"/>
        <v>0</v>
      </c>
      <c r="Q612" s="387">
        <f t="shared" ca="1" si="62"/>
        <v>1</v>
      </c>
      <c r="R612" s="536" t="s">
        <v>3954</v>
      </c>
    </row>
    <row r="613" spans="2:18" s="4" customFormat="1" ht="107.25" customHeight="1" x14ac:dyDescent="0.25">
      <c r="B613" s="518">
        <v>44607</v>
      </c>
      <c r="C613" s="519"/>
      <c r="D613" s="520" t="s">
        <v>3952</v>
      </c>
      <c r="E613" s="520" t="s">
        <v>4053</v>
      </c>
      <c r="F613" s="521" t="s">
        <v>4049</v>
      </c>
      <c r="G613" s="548" t="s">
        <v>18</v>
      </c>
      <c r="H613" s="520" t="s">
        <v>1344</v>
      </c>
      <c r="I613" s="528" t="s">
        <v>3538</v>
      </c>
      <c r="J613" s="523">
        <v>5900</v>
      </c>
      <c r="K613" s="523">
        <v>56.690399999999997</v>
      </c>
      <c r="L613" s="524">
        <f t="shared" si="72"/>
        <v>104.0740583943666</v>
      </c>
      <c r="M613" s="525">
        <v>60</v>
      </c>
      <c r="N613" s="526">
        <f t="shared" si="70"/>
        <v>98.333333333333329</v>
      </c>
      <c r="O613" s="527">
        <f t="shared" ca="1" si="73"/>
        <v>0</v>
      </c>
      <c r="P613" s="36">
        <f t="shared" ca="1" si="71"/>
        <v>0</v>
      </c>
      <c r="Q613" s="387">
        <f t="shared" ca="1" si="62"/>
        <v>1</v>
      </c>
      <c r="R613" s="536" t="s">
        <v>3954</v>
      </c>
    </row>
    <row r="614" spans="2:18" s="4" customFormat="1" ht="107.25" customHeight="1" x14ac:dyDescent="0.25">
      <c r="B614" s="518">
        <v>44607</v>
      </c>
      <c r="C614" s="519"/>
      <c r="D614" s="520" t="s">
        <v>3952</v>
      </c>
      <c r="E614" s="520" t="s">
        <v>4054</v>
      </c>
      <c r="F614" s="521" t="s">
        <v>4049</v>
      </c>
      <c r="G614" s="548" t="s">
        <v>18</v>
      </c>
      <c r="H614" s="520" t="s">
        <v>1344</v>
      </c>
      <c r="I614" s="528" t="s">
        <v>3538</v>
      </c>
      <c r="J614" s="523">
        <v>5900</v>
      </c>
      <c r="K614" s="523">
        <v>56.690399999999997</v>
      </c>
      <c r="L614" s="524">
        <f t="shared" si="72"/>
        <v>104.0740583943666</v>
      </c>
      <c r="M614" s="525">
        <v>60</v>
      </c>
      <c r="N614" s="526">
        <f t="shared" si="70"/>
        <v>98.333333333333329</v>
      </c>
      <c r="O614" s="527">
        <f t="shared" ca="1" si="73"/>
        <v>0</v>
      </c>
      <c r="P614" s="36">
        <f t="shared" ca="1" si="71"/>
        <v>0</v>
      </c>
      <c r="Q614" s="387">
        <f t="shared" ca="1" si="62"/>
        <v>1</v>
      </c>
      <c r="R614" s="536" t="s">
        <v>3954</v>
      </c>
    </row>
    <row r="615" spans="2:18" s="4" customFormat="1" ht="107.25" customHeight="1" x14ac:dyDescent="0.25">
      <c r="B615" s="518">
        <v>44607</v>
      </c>
      <c r="C615" s="519"/>
      <c r="D615" s="520" t="s">
        <v>3952</v>
      </c>
      <c r="E615" s="520" t="s">
        <v>4055</v>
      </c>
      <c r="F615" s="521" t="s">
        <v>4049</v>
      </c>
      <c r="G615" s="548" t="s">
        <v>18</v>
      </c>
      <c r="H615" s="520" t="s">
        <v>1344</v>
      </c>
      <c r="I615" s="528" t="s">
        <v>3538</v>
      </c>
      <c r="J615" s="523">
        <v>5900</v>
      </c>
      <c r="K615" s="523">
        <v>56.690399999999997</v>
      </c>
      <c r="L615" s="524">
        <f t="shared" si="72"/>
        <v>104.0740583943666</v>
      </c>
      <c r="M615" s="525">
        <v>60</v>
      </c>
      <c r="N615" s="526">
        <f t="shared" si="70"/>
        <v>98.333333333333329</v>
      </c>
      <c r="O615" s="527">
        <f t="shared" ca="1" si="73"/>
        <v>0</v>
      </c>
      <c r="P615" s="36">
        <f t="shared" ca="1" si="71"/>
        <v>0</v>
      </c>
      <c r="Q615" s="387">
        <f t="shared" ca="1" si="62"/>
        <v>1</v>
      </c>
      <c r="R615" s="536" t="s">
        <v>3954</v>
      </c>
    </row>
    <row r="616" spans="2:18" s="4" customFormat="1" ht="107.25" customHeight="1" x14ac:dyDescent="0.25">
      <c r="B616" s="518">
        <v>44607</v>
      </c>
      <c r="C616" s="519"/>
      <c r="D616" s="520" t="s">
        <v>3952</v>
      </c>
      <c r="E616" s="520" t="s">
        <v>4056</v>
      </c>
      <c r="F616" s="521" t="s">
        <v>4049</v>
      </c>
      <c r="G616" s="548" t="s">
        <v>18</v>
      </c>
      <c r="H616" s="520" t="s">
        <v>1344</v>
      </c>
      <c r="I616" s="528" t="s">
        <v>3538</v>
      </c>
      <c r="J616" s="523">
        <v>5900</v>
      </c>
      <c r="K616" s="523">
        <v>56.690399999999997</v>
      </c>
      <c r="L616" s="524">
        <f t="shared" si="72"/>
        <v>104.0740583943666</v>
      </c>
      <c r="M616" s="525">
        <v>60</v>
      </c>
      <c r="N616" s="526">
        <f t="shared" si="70"/>
        <v>98.333333333333329</v>
      </c>
      <c r="O616" s="527">
        <f t="shared" ca="1" si="73"/>
        <v>0</v>
      </c>
      <c r="P616" s="36">
        <f t="shared" ca="1" si="71"/>
        <v>0</v>
      </c>
      <c r="Q616" s="387">
        <f t="shared" ca="1" si="62"/>
        <v>1</v>
      </c>
      <c r="R616" s="536" t="s">
        <v>3954</v>
      </c>
    </row>
    <row r="617" spans="2:18" s="4" customFormat="1" ht="107.25" customHeight="1" x14ac:dyDescent="0.25">
      <c r="B617" s="518">
        <v>44607</v>
      </c>
      <c r="C617" s="519"/>
      <c r="D617" s="520" t="s">
        <v>3952</v>
      </c>
      <c r="E617" s="520" t="s">
        <v>4057</v>
      </c>
      <c r="F617" s="521" t="s">
        <v>4049</v>
      </c>
      <c r="G617" s="548" t="s">
        <v>18</v>
      </c>
      <c r="H617" s="520" t="s">
        <v>1344</v>
      </c>
      <c r="I617" s="528" t="s">
        <v>3538</v>
      </c>
      <c r="J617" s="523">
        <v>5900</v>
      </c>
      <c r="K617" s="523">
        <v>56.690399999999997</v>
      </c>
      <c r="L617" s="524">
        <f t="shared" si="72"/>
        <v>104.0740583943666</v>
      </c>
      <c r="M617" s="525">
        <v>60</v>
      </c>
      <c r="N617" s="526">
        <f t="shared" si="70"/>
        <v>98.333333333333329</v>
      </c>
      <c r="O617" s="527">
        <f t="shared" ca="1" si="73"/>
        <v>0</v>
      </c>
      <c r="P617" s="36">
        <f t="shared" ca="1" si="71"/>
        <v>0</v>
      </c>
      <c r="Q617" s="387">
        <f t="shared" ca="1" si="62"/>
        <v>1</v>
      </c>
      <c r="R617" s="536" t="s">
        <v>3954</v>
      </c>
    </row>
    <row r="618" spans="2:18" s="4" customFormat="1" ht="107.25" customHeight="1" x14ac:dyDescent="0.25">
      <c r="B618" s="518">
        <v>44607</v>
      </c>
      <c r="C618" s="519"/>
      <c r="D618" s="520" t="s">
        <v>3952</v>
      </c>
      <c r="E618" s="520" t="s">
        <v>4058</v>
      </c>
      <c r="F618" s="521" t="s">
        <v>4049</v>
      </c>
      <c r="G618" s="548" t="s">
        <v>18</v>
      </c>
      <c r="H618" s="520" t="s">
        <v>1344</v>
      </c>
      <c r="I618" s="528" t="s">
        <v>3538</v>
      </c>
      <c r="J618" s="523">
        <v>5900</v>
      </c>
      <c r="K618" s="523">
        <v>56.690399999999997</v>
      </c>
      <c r="L618" s="524">
        <f t="shared" si="72"/>
        <v>104.0740583943666</v>
      </c>
      <c r="M618" s="525">
        <v>60</v>
      </c>
      <c r="N618" s="526">
        <f t="shared" si="70"/>
        <v>98.333333333333329</v>
      </c>
      <c r="O618" s="527">
        <f t="shared" ca="1" si="73"/>
        <v>0</v>
      </c>
      <c r="P618" s="36">
        <f t="shared" ca="1" si="71"/>
        <v>0</v>
      </c>
      <c r="Q618" s="387">
        <f t="shared" ca="1" si="62"/>
        <v>1</v>
      </c>
      <c r="R618" s="536" t="s">
        <v>3954</v>
      </c>
    </row>
    <row r="619" spans="2:18" s="4" customFormat="1" ht="107.25" customHeight="1" x14ac:dyDescent="0.25">
      <c r="B619" s="518">
        <v>44607</v>
      </c>
      <c r="C619" s="519"/>
      <c r="D619" s="520" t="s">
        <v>3952</v>
      </c>
      <c r="E619" s="520" t="s">
        <v>4059</v>
      </c>
      <c r="F619" s="521" t="s">
        <v>4431</v>
      </c>
      <c r="G619" s="548" t="s">
        <v>18</v>
      </c>
      <c r="H619" s="520" t="s">
        <v>1344</v>
      </c>
      <c r="I619" s="528" t="s">
        <v>3538</v>
      </c>
      <c r="J619" s="523">
        <v>13688</v>
      </c>
      <c r="K619" s="523">
        <v>56.690399999999997</v>
      </c>
      <c r="L619" s="524">
        <f t="shared" si="72"/>
        <v>241.45181547493053</v>
      </c>
      <c r="M619" s="525">
        <v>60</v>
      </c>
      <c r="N619" s="526">
        <f t="shared" si="70"/>
        <v>228.13333333333333</v>
      </c>
      <c r="O619" s="527">
        <f t="shared" ca="1" si="73"/>
        <v>0</v>
      </c>
      <c r="P619" s="36">
        <f t="shared" ca="1" si="71"/>
        <v>0</v>
      </c>
      <c r="Q619" s="387">
        <f t="shared" ca="1" si="62"/>
        <v>1</v>
      </c>
      <c r="R619" s="536" t="s">
        <v>3954</v>
      </c>
    </row>
    <row r="620" spans="2:18" s="4" customFormat="1" ht="107.25" customHeight="1" x14ac:dyDescent="0.25">
      <c r="B620" s="518">
        <v>44607</v>
      </c>
      <c r="C620" s="519"/>
      <c r="D620" s="520" t="s">
        <v>3952</v>
      </c>
      <c r="E620" s="520" t="s">
        <v>4060</v>
      </c>
      <c r="F620" s="521" t="s">
        <v>4061</v>
      </c>
      <c r="G620" s="548" t="s">
        <v>18</v>
      </c>
      <c r="H620" s="520" t="s">
        <v>1344</v>
      </c>
      <c r="I620" s="528" t="s">
        <v>3538</v>
      </c>
      <c r="J620" s="523">
        <v>8224.6</v>
      </c>
      <c r="K620" s="523">
        <v>56.690399999999997</v>
      </c>
      <c r="L620" s="524">
        <f t="shared" si="72"/>
        <v>145.07923740174704</v>
      </c>
      <c r="M620" s="525">
        <v>60</v>
      </c>
      <c r="N620" s="526">
        <f t="shared" si="70"/>
        <v>137.07666666666668</v>
      </c>
      <c r="O620" s="527">
        <f t="shared" ca="1" si="73"/>
        <v>0</v>
      </c>
      <c r="P620" s="36">
        <f t="shared" ca="1" si="71"/>
        <v>0</v>
      </c>
      <c r="Q620" s="387">
        <f t="shared" ca="1" si="62"/>
        <v>1</v>
      </c>
      <c r="R620" s="536" t="s">
        <v>3954</v>
      </c>
    </row>
    <row r="621" spans="2:18" s="4" customFormat="1" ht="107.25" customHeight="1" x14ac:dyDescent="0.25">
      <c r="B621" s="518">
        <v>44607</v>
      </c>
      <c r="C621" s="519"/>
      <c r="D621" s="520" t="s">
        <v>3952</v>
      </c>
      <c r="E621" s="520" t="s">
        <v>4062</v>
      </c>
      <c r="F621" s="521" t="s">
        <v>4061</v>
      </c>
      <c r="G621" s="548" t="s">
        <v>18</v>
      </c>
      <c r="H621" s="520" t="s">
        <v>1344</v>
      </c>
      <c r="I621" s="528" t="s">
        <v>3538</v>
      </c>
      <c r="J621" s="523">
        <v>8224.6</v>
      </c>
      <c r="K621" s="523">
        <v>56.690399999999997</v>
      </c>
      <c r="L621" s="524">
        <f t="shared" si="72"/>
        <v>145.07923740174704</v>
      </c>
      <c r="M621" s="525">
        <v>60</v>
      </c>
      <c r="N621" s="526">
        <f t="shared" si="70"/>
        <v>137.07666666666668</v>
      </c>
      <c r="O621" s="527">
        <f t="shared" ca="1" si="73"/>
        <v>0</v>
      </c>
      <c r="P621" s="36">
        <f t="shared" ca="1" si="71"/>
        <v>0</v>
      </c>
      <c r="Q621" s="387">
        <f t="shared" ca="1" si="62"/>
        <v>1</v>
      </c>
      <c r="R621" s="536" t="s">
        <v>3954</v>
      </c>
    </row>
    <row r="622" spans="2:18" s="4" customFormat="1" ht="107.25" customHeight="1" x14ac:dyDescent="0.25">
      <c r="B622" s="518">
        <v>44607</v>
      </c>
      <c r="C622" s="519"/>
      <c r="D622" s="520" t="s">
        <v>3952</v>
      </c>
      <c r="E622" s="520" t="s">
        <v>4063</v>
      </c>
      <c r="F622" s="521" t="s">
        <v>4061</v>
      </c>
      <c r="G622" s="548" t="s">
        <v>18</v>
      </c>
      <c r="H622" s="520" t="s">
        <v>1344</v>
      </c>
      <c r="I622" s="528" t="s">
        <v>3538</v>
      </c>
      <c r="J622" s="523">
        <v>8224.6</v>
      </c>
      <c r="K622" s="523">
        <v>56.690399999999997</v>
      </c>
      <c r="L622" s="524">
        <f t="shared" si="72"/>
        <v>145.07923740174704</v>
      </c>
      <c r="M622" s="525">
        <v>60</v>
      </c>
      <c r="N622" s="526">
        <f t="shared" si="70"/>
        <v>137.07666666666668</v>
      </c>
      <c r="O622" s="527">
        <f t="shared" ca="1" si="73"/>
        <v>0</v>
      </c>
      <c r="P622" s="36">
        <f t="shared" ca="1" si="71"/>
        <v>0</v>
      </c>
      <c r="Q622" s="387">
        <f t="shared" ca="1" si="62"/>
        <v>1</v>
      </c>
      <c r="R622" s="536" t="s">
        <v>3954</v>
      </c>
    </row>
    <row r="623" spans="2:18" s="4" customFormat="1" ht="107.25" customHeight="1" x14ac:dyDescent="0.25">
      <c r="B623" s="518">
        <v>44607</v>
      </c>
      <c r="C623" s="519"/>
      <c r="D623" s="520" t="s">
        <v>3952</v>
      </c>
      <c r="E623" s="520" t="s">
        <v>4064</v>
      </c>
      <c r="F623" s="521" t="s">
        <v>4061</v>
      </c>
      <c r="G623" s="548" t="s">
        <v>18</v>
      </c>
      <c r="H623" s="520" t="s">
        <v>1344</v>
      </c>
      <c r="I623" s="528" t="s">
        <v>3538</v>
      </c>
      <c r="J623" s="523">
        <v>8224.6</v>
      </c>
      <c r="K623" s="523">
        <v>56.690399999999997</v>
      </c>
      <c r="L623" s="524">
        <f t="shared" si="72"/>
        <v>145.07923740174704</v>
      </c>
      <c r="M623" s="525">
        <v>60</v>
      </c>
      <c r="N623" s="526">
        <f t="shared" si="70"/>
        <v>137.07666666666668</v>
      </c>
      <c r="O623" s="527">
        <f t="shared" ca="1" si="73"/>
        <v>0</v>
      </c>
      <c r="P623" s="36">
        <f t="shared" ca="1" si="71"/>
        <v>0</v>
      </c>
      <c r="Q623" s="387">
        <f t="shared" ca="1" si="62"/>
        <v>1</v>
      </c>
      <c r="R623" s="536" t="s">
        <v>3954</v>
      </c>
    </row>
    <row r="624" spans="2:18" s="4" customFormat="1" ht="99.75" customHeight="1" x14ac:dyDescent="0.25">
      <c r="B624" s="24">
        <v>44914</v>
      </c>
      <c r="C624" s="24" t="s">
        <v>2349</v>
      </c>
      <c r="D624" s="53" t="s">
        <v>3947</v>
      </c>
      <c r="E624" s="26" t="s">
        <v>3840</v>
      </c>
      <c r="F624" s="53" t="s">
        <v>3948</v>
      </c>
      <c r="G624" s="56" t="s">
        <v>28</v>
      </c>
      <c r="H624" s="53" t="s">
        <v>3949</v>
      </c>
      <c r="I624" s="53" t="s">
        <v>19</v>
      </c>
      <c r="J624" s="53">
        <v>26756.5</v>
      </c>
      <c r="K624" s="53">
        <v>55.127400000000002</v>
      </c>
      <c r="L624" s="59">
        <f t="shared" si="51"/>
        <v>485.35755359403851</v>
      </c>
      <c r="M624" s="53">
        <v>60</v>
      </c>
      <c r="N624" s="57">
        <f t="shared" ref="N624:N655" si="74">J624/M624</f>
        <v>445.94166666666666</v>
      </c>
      <c r="O624" s="38">
        <f t="shared" ref="O624:O655" ca="1" si="75">IF(B624&lt;&gt;0,(ROUND((NOW()-B624)/30,0)),0)</f>
        <v>31</v>
      </c>
      <c r="P624" s="36">
        <f t="shared" ca="1" si="71"/>
        <v>12932.308333333334</v>
      </c>
      <c r="Q624" s="36">
        <f t="shared" ca="1" si="62"/>
        <v>12932.308333333334</v>
      </c>
      <c r="R624" s="535" t="s">
        <v>30</v>
      </c>
    </row>
    <row r="625" spans="2:24" s="4" customFormat="1" ht="99.75" customHeight="1" x14ac:dyDescent="0.25">
      <c r="B625" s="24">
        <v>44914</v>
      </c>
      <c r="C625" s="24" t="s">
        <v>2349</v>
      </c>
      <c r="D625" s="53" t="s">
        <v>3947</v>
      </c>
      <c r="E625" s="26" t="s">
        <v>3843</v>
      </c>
      <c r="F625" s="53" t="s">
        <v>3948</v>
      </c>
      <c r="G625" s="56" t="s">
        <v>28</v>
      </c>
      <c r="H625" s="53" t="s">
        <v>3949</v>
      </c>
      <c r="I625" s="53" t="s">
        <v>19</v>
      </c>
      <c r="J625" s="53">
        <v>26756.5</v>
      </c>
      <c r="K625" s="53">
        <v>55.127400000000002</v>
      </c>
      <c r="L625" s="59">
        <f t="shared" si="51"/>
        <v>485.35755359403851</v>
      </c>
      <c r="M625" s="53">
        <v>60</v>
      </c>
      <c r="N625" s="57">
        <f t="shared" si="74"/>
        <v>445.94166666666666</v>
      </c>
      <c r="O625" s="38">
        <f t="shared" ca="1" si="75"/>
        <v>31</v>
      </c>
      <c r="P625" s="36">
        <f t="shared" ca="1" si="71"/>
        <v>12932.308333333334</v>
      </c>
      <c r="Q625" s="36">
        <f t="shared" ca="1" si="62"/>
        <v>12932.308333333334</v>
      </c>
      <c r="R625" s="535" t="s">
        <v>30</v>
      </c>
    </row>
    <row r="626" spans="2:24" s="4" customFormat="1" ht="99.75" customHeight="1" x14ac:dyDescent="0.25">
      <c r="B626" s="24">
        <v>44914</v>
      </c>
      <c r="C626" s="24" t="s">
        <v>2349</v>
      </c>
      <c r="D626" s="53" t="s">
        <v>3947</v>
      </c>
      <c r="E626" s="26" t="s">
        <v>3844</v>
      </c>
      <c r="F626" s="53" t="s">
        <v>3948</v>
      </c>
      <c r="G626" s="56" t="s">
        <v>28</v>
      </c>
      <c r="H626" s="53" t="s">
        <v>3949</v>
      </c>
      <c r="I626" s="53" t="s">
        <v>19</v>
      </c>
      <c r="J626" s="53">
        <v>26756.5</v>
      </c>
      <c r="K626" s="53">
        <v>55.127400000000002</v>
      </c>
      <c r="L626" s="59">
        <f>J626/K626</f>
        <v>485.35755359403851</v>
      </c>
      <c r="M626" s="53">
        <v>60</v>
      </c>
      <c r="N626" s="57">
        <f t="shared" si="74"/>
        <v>445.94166666666666</v>
      </c>
      <c r="O626" s="38">
        <f t="shared" ca="1" si="75"/>
        <v>31</v>
      </c>
      <c r="P626" s="36">
        <f t="shared" ca="1" si="71"/>
        <v>12932.308333333334</v>
      </c>
      <c r="Q626" s="36">
        <f t="shared" ca="1" si="62"/>
        <v>12932.308333333334</v>
      </c>
      <c r="R626" s="535" t="s">
        <v>30</v>
      </c>
    </row>
    <row r="627" spans="2:24" s="4" customFormat="1" ht="64.5" customHeight="1" x14ac:dyDescent="0.25">
      <c r="B627" s="24">
        <v>45075</v>
      </c>
      <c r="C627" s="24">
        <v>45091</v>
      </c>
      <c r="D627" s="53" t="s">
        <v>4262</v>
      </c>
      <c r="E627" s="26" t="s">
        <v>3854</v>
      </c>
      <c r="F627" s="53" t="s">
        <v>4263</v>
      </c>
      <c r="G627" s="56" t="s">
        <v>28</v>
      </c>
      <c r="H627" s="53" t="s">
        <v>4358</v>
      </c>
      <c r="I627" s="53" t="s">
        <v>19</v>
      </c>
      <c r="J627" s="53">
        <v>24780</v>
      </c>
      <c r="K627" s="53">
        <v>54.418599999999998</v>
      </c>
      <c r="L627" s="59">
        <f>J627/K627</f>
        <v>455.35901327854816</v>
      </c>
      <c r="M627" s="53">
        <v>60</v>
      </c>
      <c r="N627" s="57">
        <f t="shared" si="74"/>
        <v>413</v>
      </c>
      <c r="O627" s="38">
        <f t="shared" ca="1" si="75"/>
        <v>26</v>
      </c>
      <c r="P627" s="36">
        <f t="shared" ca="1" si="71"/>
        <v>14042</v>
      </c>
      <c r="Q627" s="36">
        <f t="shared" ca="1" si="62"/>
        <v>14042</v>
      </c>
      <c r="R627" s="535" t="s">
        <v>30</v>
      </c>
    </row>
    <row r="628" spans="2:24" s="4" customFormat="1" ht="64.5" customHeight="1" x14ac:dyDescent="0.25">
      <c r="B628" s="24">
        <v>45075</v>
      </c>
      <c r="C628" s="24">
        <v>45091</v>
      </c>
      <c r="D628" s="53" t="s">
        <v>4262</v>
      </c>
      <c r="E628" s="26" t="s">
        <v>3859</v>
      </c>
      <c r="F628" s="53" t="s">
        <v>4263</v>
      </c>
      <c r="G628" s="56" t="s">
        <v>28</v>
      </c>
      <c r="H628" s="53" t="s">
        <v>4357</v>
      </c>
      <c r="I628" s="53" t="s">
        <v>19</v>
      </c>
      <c r="J628" s="53">
        <v>24780</v>
      </c>
      <c r="K628" s="53">
        <v>54.418599999999998</v>
      </c>
      <c r="L628" s="59">
        <f t="shared" ref="L628:L691" si="76">J628/K628</f>
        <v>455.35901327854816</v>
      </c>
      <c r="M628" s="53">
        <v>60</v>
      </c>
      <c r="N628" s="57">
        <f t="shared" si="74"/>
        <v>413</v>
      </c>
      <c r="O628" s="38">
        <f t="shared" ca="1" si="75"/>
        <v>26</v>
      </c>
      <c r="P628" s="36">
        <f t="shared" ca="1" si="71"/>
        <v>14042</v>
      </c>
      <c r="Q628" s="36">
        <f t="shared" ca="1" si="62"/>
        <v>14042</v>
      </c>
      <c r="R628" s="535" t="s">
        <v>30</v>
      </c>
      <c r="W628" s="4" t="s">
        <v>2048</v>
      </c>
    </row>
    <row r="629" spans="2:24" s="4" customFormat="1" ht="43.5" customHeight="1" x14ac:dyDescent="0.25">
      <c r="B629" s="24">
        <v>45075</v>
      </c>
      <c r="C629" s="24">
        <v>45091</v>
      </c>
      <c r="D629" s="53" t="s">
        <v>4262</v>
      </c>
      <c r="E629" s="26" t="s">
        <v>4264</v>
      </c>
      <c r="F629" s="53" t="s">
        <v>4263</v>
      </c>
      <c r="G629" s="56" t="s">
        <v>28</v>
      </c>
      <c r="H629" s="25" t="s">
        <v>4359</v>
      </c>
      <c r="I629" s="53" t="s">
        <v>19</v>
      </c>
      <c r="J629" s="53">
        <v>24780</v>
      </c>
      <c r="K629" s="53">
        <v>54.418599999999998</v>
      </c>
      <c r="L629" s="59">
        <f t="shared" si="76"/>
        <v>455.35901327854816</v>
      </c>
      <c r="M629" s="53">
        <v>60</v>
      </c>
      <c r="N629" s="57">
        <f t="shared" si="74"/>
        <v>413</v>
      </c>
      <c r="O629" s="38">
        <f t="shared" ca="1" si="75"/>
        <v>26</v>
      </c>
      <c r="P629" s="36">
        <f t="shared" ca="1" si="71"/>
        <v>14042</v>
      </c>
      <c r="Q629" s="36">
        <f t="shared" ca="1" si="62"/>
        <v>14042</v>
      </c>
      <c r="R629" s="535" t="s">
        <v>30</v>
      </c>
    </row>
    <row r="630" spans="2:24" s="4" customFormat="1" ht="43.5" customHeight="1" x14ac:dyDescent="0.25">
      <c r="B630" s="24">
        <v>45075</v>
      </c>
      <c r="C630" s="24">
        <v>45091</v>
      </c>
      <c r="D630" s="53" t="s">
        <v>4262</v>
      </c>
      <c r="E630" s="26" t="s">
        <v>4265</v>
      </c>
      <c r="F630" s="53" t="s">
        <v>4263</v>
      </c>
      <c r="G630" s="56" t="s">
        <v>28</v>
      </c>
      <c r="H630" s="25" t="s">
        <v>4393</v>
      </c>
      <c r="I630" s="53" t="s">
        <v>19</v>
      </c>
      <c r="J630" s="53">
        <v>24780</v>
      </c>
      <c r="K630" s="53">
        <v>54.418599999999998</v>
      </c>
      <c r="L630" s="59">
        <f t="shared" si="76"/>
        <v>455.35901327854816</v>
      </c>
      <c r="M630" s="53">
        <v>60</v>
      </c>
      <c r="N630" s="57">
        <f t="shared" si="74"/>
        <v>413</v>
      </c>
      <c r="O630" s="38">
        <f t="shared" ca="1" si="75"/>
        <v>26</v>
      </c>
      <c r="P630" s="36">
        <f t="shared" ca="1" si="71"/>
        <v>14042</v>
      </c>
      <c r="Q630" s="36">
        <f t="shared" ca="1" si="62"/>
        <v>14042</v>
      </c>
      <c r="R630" s="535" t="s">
        <v>30</v>
      </c>
    </row>
    <row r="631" spans="2:24" s="4" customFormat="1" ht="43.5" customHeight="1" x14ac:dyDescent="0.25">
      <c r="B631" s="24">
        <v>45075</v>
      </c>
      <c r="C631" s="24">
        <v>45091</v>
      </c>
      <c r="D631" s="53" t="s">
        <v>4262</v>
      </c>
      <c r="E631" s="26" t="s">
        <v>4266</v>
      </c>
      <c r="F631" s="53" t="s">
        <v>4263</v>
      </c>
      <c r="G631" s="56" t="s">
        <v>28</v>
      </c>
      <c r="H631" s="466" t="s">
        <v>4361</v>
      </c>
      <c r="I631" s="53" t="s">
        <v>19</v>
      </c>
      <c r="J631" s="53">
        <v>24780</v>
      </c>
      <c r="K631" s="53">
        <v>54.418599999999998</v>
      </c>
      <c r="L631" s="59">
        <f t="shared" si="76"/>
        <v>455.35901327854816</v>
      </c>
      <c r="M631" s="53">
        <v>60</v>
      </c>
      <c r="N631" s="57">
        <f t="shared" si="74"/>
        <v>413</v>
      </c>
      <c r="O631" s="38">
        <f t="shared" ca="1" si="75"/>
        <v>26</v>
      </c>
      <c r="P631" s="36">
        <f t="shared" ca="1" si="71"/>
        <v>14042</v>
      </c>
      <c r="Q631" s="36">
        <f t="shared" ca="1" si="62"/>
        <v>14042</v>
      </c>
      <c r="R631" s="535" t="s">
        <v>30</v>
      </c>
    </row>
    <row r="632" spans="2:24" s="4" customFormat="1" ht="43.5" customHeight="1" x14ac:dyDescent="0.25">
      <c r="B632" s="24">
        <v>45075</v>
      </c>
      <c r="C632" s="24">
        <v>45091</v>
      </c>
      <c r="D632" s="53" t="s">
        <v>4262</v>
      </c>
      <c r="E632" s="26" t="s">
        <v>4267</v>
      </c>
      <c r="F632" s="53" t="s">
        <v>4312</v>
      </c>
      <c r="G632" s="56" t="s">
        <v>28</v>
      </c>
      <c r="H632" s="53" t="s">
        <v>3771</v>
      </c>
      <c r="I632" s="53" t="s">
        <v>19</v>
      </c>
      <c r="J632" s="53">
        <v>12590.6</v>
      </c>
      <c r="K632" s="53">
        <v>54.418599999999998</v>
      </c>
      <c r="L632" s="59">
        <f t="shared" si="76"/>
        <v>231.36574627057661</v>
      </c>
      <c r="M632" s="53">
        <v>60</v>
      </c>
      <c r="N632" s="57">
        <f t="shared" si="74"/>
        <v>209.84333333333333</v>
      </c>
      <c r="O632" s="38">
        <f t="shared" ca="1" si="75"/>
        <v>26</v>
      </c>
      <c r="P632" s="36">
        <f t="shared" ca="1" si="71"/>
        <v>7134.6733333333341</v>
      </c>
      <c r="Q632" s="36">
        <f t="shared" ca="1" si="62"/>
        <v>7134.6733333333341</v>
      </c>
      <c r="R632" s="535" t="s">
        <v>30</v>
      </c>
    </row>
    <row r="633" spans="2:24" s="4" customFormat="1" ht="43.5" customHeight="1" x14ac:dyDescent="0.25">
      <c r="B633" s="24">
        <v>45075</v>
      </c>
      <c r="C633" s="24">
        <v>45091</v>
      </c>
      <c r="D633" s="53" t="s">
        <v>4262</v>
      </c>
      <c r="E633" s="26" t="s">
        <v>4268</v>
      </c>
      <c r="F633" s="53" t="s">
        <v>4312</v>
      </c>
      <c r="G633" s="56" t="s">
        <v>28</v>
      </c>
      <c r="H633" s="53" t="s">
        <v>4356</v>
      </c>
      <c r="I633" s="53" t="s">
        <v>19</v>
      </c>
      <c r="J633" s="53">
        <v>12590.6</v>
      </c>
      <c r="K633" s="53">
        <v>54.418599999999998</v>
      </c>
      <c r="L633" s="59">
        <f t="shared" si="76"/>
        <v>231.36574627057661</v>
      </c>
      <c r="M633" s="53">
        <v>60</v>
      </c>
      <c r="N633" s="57">
        <f t="shared" si="74"/>
        <v>209.84333333333333</v>
      </c>
      <c r="O633" s="38">
        <f t="shared" ca="1" si="75"/>
        <v>26</v>
      </c>
      <c r="P633" s="36">
        <f t="shared" ca="1" si="71"/>
        <v>7134.6733333333341</v>
      </c>
      <c r="Q633" s="36">
        <f t="shared" ca="1" si="62"/>
        <v>7134.6733333333341</v>
      </c>
      <c r="R633" s="535" t="s">
        <v>30</v>
      </c>
    </row>
    <row r="634" spans="2:24" s="4" customFormat="1" ht="43.5" customHeight="1" x14ac:dyDescent="0.25">
      <c r="B634" s="24">
        <v>45075</v>
      </c>
      <c r="C634" s="24">
        <v>45091</v>
      </c>
      <c r="D634" s="53" t="s">
        <v>4262</v>
      </c>
      <c r="E634" s="26" t="s">
        <v>4269</v>
      </c>
      <c r="F634" s="53" t="s">
        <v>4313</v>
      </c>
      <c r="G634" s="56" t="s">
        <v>28</v>
      </c>
      <c r="H634" s="466" t="s">
        <v>2411</v>
      </c>
      <c r="I634" s="53" t="s">
        <v>19</v>
      </c>
      <c r="J634" s="53">
        <v>9068.2999999999993</v>
      </c>
      <c r="K634" s="53">
        <v>54.418599999999998</v>
      </c>
      <c r="L634" s="59">
        <f t="shared" si="76"/>
        <v>166.63971509741154</v>
      </c>
      <c r="M634" s="53">
        <v>60</v>
      </c>
      <c r="N634" s="57">
        <f t="shared" si="74"/>
        <v>151.13833333333332</v>
      </c>
      <c r="O634" s="38">
        <f t="shared" ca="1" si="75"/>
        <v>26</v>
      </c>
      <c r="P634" s="36">
        <f t="shared" ca="1" si="71"/>
        <v>5138.7033333333329</v>
      </c>
      <c r="Q634" s="36">
        <f t="shared" ca="1" si="62"/>
        <v>5138.7033333333329</v>
      </c>
      <c r="R634" s="535" t="s">
        <v>30</v>
      </c>
    </row>
    <row r="635" spans="2:24" s="4" customFormat="1" ht="43.5" customHeight="1" x14ac:dyDescent="0.25">
      <c r="B635" s="24">
        <v>45075</v>
      </c>
      <c r="C635" s="24">
        <v>45091</v>
      </c>
      <c r="D635" s="53" t="s">
        <v>4262</v>
      </c>
      <c r="E635" s="26" t="s">
        <v>4270</v>
      </c>
      <c r="F635" s="53" t="s">
        <v>4313</v>
      </c>
      <c r="G635" s="56" t="s">
        <v>28</v>
      </c>
      <c r="H635" s="466" t="s">
        <v>2411</v>
      </c>
      <c r="I635" s="53" t="s">
        <v>19</v>
      </c>
      <c r="J635" s="53">
        <v>9068.2999999999993</v>
      </c>
      <c r="K635" s="53">
        <v>54.418599999999998</v>
      </c>
      <c r="L635" s="59">
        <f t="shared" si="76"/>
        <v>166.63971509741154</v>
      </c>
      <c r="M635" s="53">
        <v>60</v>
      </c>
      <c r="N635" s="57">
        <f t="shared" si="74"/>
        <v>151.13833333333332</v>
      </c>
      <c r="O635" s="38">
        <f t="shared" ca="1" si="75"/>
        <v>26</v>
      </c>
      <c r="P635" s="36">
        <f t="shared" ca="1" si="71"/>
        <v>5138.7033333333329</v>
      </c>
      <c r="Q635" s="36">
        <f t="shared" ca="1" si="62"/>
        <v>5138.7033333333329</v>
      </c>
      <c r="R635" s="535" t="s">
        <v>30</v>
      </c>
    </row>
    <row r="636" spans="2:24" s="4" customFormat="1" ht="43.5" customHeight="1" x14ac:dyDescent="0.25">
      <c r="B636" s="24">
        <v>45075</v>
      </c>
      <c r="C636" s="24">
        <v>45091</v>
      </c>
      <c r="D636" s="53" t="s">
        <v>4262</v>
      </c>
      <c r="E636" s="26" t="s">
        <v>4271</v>
      </c>
      <c r="F636" s="53" t="s">
        <v>4313</v>
      </c>
      <c r="G636" s="56" t="s">
        <v>28</v>
      </c>
      <c r="H636" s="466" t="s">
        <v>2411</v>
      </c>
      <c r="I636" s="53" t="s">
        <v>19</v>
      </c>
      <c r="J636" s="53">
        <v>9068.2999999999993</v>
      </c>
      <c r="K636" s="53">
        <v>54.418599999999998</v>
      </c>
      <c r="L636" s="59">
        <f t="shared" si="76"/>
        <v>166.63971509741154</v>
      </c>
      <c r="M636" s="53">
        <v>60</v>
      </c>
      <c r="N636" s="57">
        <f t="shared" si="74"/>
        <v>151.13833333333332</v>
      </c>
      <c r="O636" s="38">
        <f t="shared" ca="1" si="75"/>
        <v>26</v>
      </c>
      <c r="P636" s="36">
        <f t="shared" ca="1" si="71"/>
        <v>5138.7033333333329</v>
      </c>
      <c r="Q636" s="36">
        <f t="shared" ca="1" si="62"/>
        <v>5138.7033333333329</v>
      </c>
      <c r="R636" s="535" t="s">
        <v>30</v>
      </c>
    </row>
    <row r="637" spans="2:24" s="4" customFormat="1" ht="43.5" customHeight="1" x14ac:dyDescent="0.25">
      <c r="B637" s="24">
        <v>45075</v>
      </c>
      <c r="C637" s="24">
        <v>45091</v>
      </c>
      <c r="D637" s="53" t="s">
        <v>4262</v>
      </c>
      <c r="E637" s="26" t="s">
        <v>4272</v>
      </c>
      <c r="F637" s="53" t="s">
        <v>4313</v>
      </c>
      <c r="G637" s="56" t="s">
        <v>28</v>
      </c>
      <c r="H637" s="26" t="s">
        <v>1135</v>
      </c>
      <c r="I637" s="53" t="s">
        <v>19</v>
      </c>
      <c r="J637" s="53">
        <v>9068.2999999999993</v>
      </c>
      <c r="K637" s="53">
        <v>54.418599999999998</v>
      </c>
      <c r="L637" s="59">
        <f t="shared" si="76"/>
        <v>166.63971509741154</v>
      </c>
      <c r="M637" s="53">
        <v>60</v>
      </c>
      <c r="N637" s="57">
        <f t="shared" si="74"/>
        <v>151.13833333333332</v>
      </c>
      <c r="O637" s="38">
        <f t="shared" ca="1" si="75"/>
        <v>26</v>
      </c>
      <c r="P637" s="36">
        <f t="shared" ca="1" si="71"/>
        <v>5138.7033333333329</v>
      </c>
      <c r="Q637" s="36">
        <f t="shared" ca="1" si="62"/>
        <v>5138.7033333333329</v>
      </c>
      <c r="R637" s="535" t="s">
        <v>30</v>
      </c>
    </row>
    <row r="638" spans="2:24" s="4" customFormat="1" ht="43.5" customHeight="1" x14ac:dyDescent="0.25">
      <c r="B638" s="24">
        <v>45075</v>
      </c>
      <c r="C638" s="24">
        <v>45091</v>
      </c>
      <c r="D638" s="53" t="s">
        <v>4262</v>
      </c>
      <c r="E638" s="26" t="s">
        <v>4273</v>
      </c>
      <c r="F638" s="53" t="s">
        <v>4313</v>
      </c>
      <c r="G638" s="56" t="s">
        <v>28</v>
      </c>
      <c r="H638" s="53" t="s">
        <v>4353</v>
      </c>
      <c r="I638" s="53" t="s">
        <v>19</v>
      </c>
      <c r="J638" s="53">
        <v>9068.2999999999993</v>
      </c>
      <c r="K638" s="53">
        <v>54.418599999999998</v>
      </c>
      <c r="L638" s="59">
        <f t="shared" si="76"/>
        <v>166.63971509741154</v>
      </c>
      <c r="M638" s="53">
        <v>60</v>
      </c>
      <c r="N638" s="57">
        <f t="shared" si="74"/>
        <v>151.13833333333332</v>
      </c>
      <c r="O638" s="38">
        <f t="shared" ca="1" si="75"/>
        <v>26</v>
      </c>
      <c r="P638" s="36">
        <f t="shared" ca="1" si="71"/>
        <v>5138.7033333333329</v>
      </c>
      <c r="Q638" s="36">
        <f t="shared" ca="1" si="62"/>
        <v>5138.7033333333329</v>
      </c>
      <c r="R638" s="535" t="s">
        <v>30</v>
      </c>
      <c r="X638" s="4" t="s">
        <v>2048</v>
      </c>
    </row>
    <row r="639" spans="2:24" s="4" customFormat="1" ht="43.5" customHeight="1" x14ac:dyDescent="0.25">
      <c r="B639" s="24">
        <v>45075</v>
      </c>
      <c r="C639" s="24">
        <v>45091</v>
      </c>
      <c r="D639" s="53" t="s">
        <v>4262</v>
      </c>
      <c r="E639" s="26" t="s">
        <v>4274</v>
      </c>
      <c r="F639" s="53" t="s">
        <v>4313</v>
      </c>
      <c r="G639" s="56" t="s">
        <v>28</v>
      </c>
      <c r="H639" s="53" t="s">
        <v>4353</v>
      </c>
      <c r="I639" s="53" t="s">
        <v>19</v>
      </c>
      <c r="J639" s="53">
        <v>9068.2999999999993</v>
      </c>
      <c r="K639" s="53">
        <v>54.418599999999998</v>
      </c>
      <c r="L639" s="59">
        <f t="shared" si="76"/>
        <v>166.63971509741154</v>
      </c>
      <c r="M639" s="53">
        <v>60</v>
      </c>
      <c r="N639" s="57">
        <f t="shared" si="74"/>
        <v>151.13833333333332</v>
      </c>
      <c r="O639" s="38">
        <f t="shared" ca="1" si="75"/>
        <v>26</v>
      </c>
      <c r="P639" s="36">
        <f t="shared" ca="1" si="71"/>
        <v>5138.7033333333329</v>
      </c>
      <c r="Q639" s="36">
        <f t="shared" ca="1" si="62"/>
        <v>5138.7033333333329</v>
      </c>
      <c r="R639" s="535" t="s">
        <v>30</v>
      </c>
    </row>
    <row r="640" spans="2:24" s="4" customFormat="1" ht="43.5" customHeight="1" x14ac:dyDescent="0.25">
      <c r="B640" s="24">
        <v>45075</v>
      </c>
      <c r="C640" s="24">
        <v>45091</v>
      </c>
      <c r="D640" s="53" t="s">
        <v>4262</v>
      </c>
      <c r="E640" s="26" t="s">
        <v>4275</v>
      </c>
      <c r="F640" s="53" t="s">
        <v>4313</v>
      </c>
      <c r="G640" s="56" t="s">
        <v>28</v>
      </c>
      <c r="H640" s="53" t="s">
        <v>4353</v>
      </c>
      <c r="I640" s="53" t="s">
        <v>19</v>
      </c>
      <c r="J640" s="53">
        <v>9068.2999999999993</v>
      </c>
      <c r="K640" s="53">
        <v>54.418599999999998</v>
      </c>
      <c r="L640" s="59">
        <f t="shared" si="76"/>
        <v>166.63971509741154</v>
      </c>
      <c r="M640" s="53">
        <v>60</v>
      </c>
      <c r="N640" s="57">
        <f t="shared" si="74"/>
        <v>151.13833333333332</v>
      </c>
      <c r="O640" s="38">
        <f t="shared" ca="1" si="75"/>
        <v>26</v>
      </c>
      <c r="P640" s="36">
        <f t="shared" ca="1" si="71"/>
        <v>5138.7033333333329</v>
      </c>
      <c r="Q640" s="36">
        <f t="shared" ca="1" si="62"/>
        <v>5138.7033333333329</v>
      </c>
      <c r="R640" s="535" t="s">
        <v>30</v>
      </c>
    </row>
    <row r="641" spans="2:18" s="4" customFormat="1" ht="43.5" customHeight="1" x14ac:dyDescent="0.25">
      <c r="B641" s="24">
        <v>45075</v>
      </c>
      <c r="C641" s="24">
        <v>45091</v>
      </c>
      <c r="D641" s="53" t="s">
        <v>4262</v>
      </c>
      <c r="E641" s="26" t="s">
        <v>4276</v>
      </c>
      <c r="F641" s="53" t="s">
        <v>4313</v>
      </c>
      <c r="G641" s="56" t="s">
        <v>28</v>
      </c>
      <c r="H641" s="53" t="s">
        <v>4354</v>
      </c>
      <c r="I641" s="53" t="s">
        <v>19</v>
      </c>
      <c r="J641" s="53">
        <v>9068.2999999999993</v>
      </c>
      <c r="K641" s="53">
        <v>54.418599999999998</v>
      </c>
      <c r="L641" s="59">
        <f t="shared" si="76"/>
        <v>166.63971509741154</v>
      </c>
      <c r="M641" s="53">
        <v>60</v>
      </c>
      <c r="N641" s="57">
        <f t="shared" si="74"/>
        <v>151.13833333333332</v>
      </c>
      <c r="O641" s="38">
        <f t="shared" ca="1" si="75"/>
        <v>26</v>
      </c>
      <c r="P641" s="36">
        <f t="shared" ca="1" si="71"/>
        <v>5138.7033333333329</v>
      </c>
      <c r="Q641" s="36">
        <f t="shared" ca="1" si="62"/>
        <v>5138.7033333333329</v>
      </c>
      <c r="R641" s="535" t="s">
        <v>30</v>
      </c>
    </row>
    <row r="642" spans="2:18" s="4" customFormat="1" ht="43.5" customHeight="1" x14ac:dyDescent="0.25">
      <c r="B642" s="24">
        <v>45075</v>
      </c>
      <c r="C642" s="24">
        <v>45091</v>
      </c>
      <c r="D642" s="53" t="s">
        <v>4262</v>
      </c>
      <c r="E642" s="26" t="s">
        <v>4277</v>
      </c>
      <c r="F642" s="53" t="s">
        <v>4313</v>
      </c>
      <c r="G642" s="56" t="s">
        <v>28</v>
      </c>
      <c r="H642" s="53" t="s">
        <v>4354</v>
      </c>
      <c r="I642" s="53" t="s">
        <v>19</v>
      </c>
      <c r="J642" s="53">
        <v>9068.2999999999993</v>
      </c>
      <c r="K642" s="53">
        <v>54.418599999999998</v>
      </c>
      <c r="L642" s="59">
        <f t="shared" si="76"/>
        <v>166.63971509741154</v>
      </c>
      <c r="M642" s="53">
        <v>60</v>
      </c>
      <c r="N642" s="57">
        <f t="shared" si="74"/>
        <v>151.13833333333332</v>
      </c>
      <c r="O642" s="38">
        <f t="shared" ca="1" si="75"/>
        <v>26</v>
      </c>
      <c r="P642" s="36">
        <f t="shared" ca="1" si="71"/>
        <v>5138.7033333333329</v>
      </c>
      <c r="Q642" s="36">
        <f t="shared" ca="1" si="62"/>
        <v>5138.7033333333329</v>
      </c>
      <c r="R642" s="535" t="s">
        <v>30</v>
      </c>
    </row>
    <row r="643" spans="2:18" s="4" customFormat="1" ht="43.5" customHeight="1" x14ac:dyDescent="0.25">
      <c r="B643" s="24">
        <v>45075</v>
      </c>
      <c r="C643" s="24">
        <v>45091</v>
      </c>
      <c r="D643" s="53" t="s">
        <v>4262</v>
      </c>
      <c r="E643" s="26" t="s">
        <v>4278</v>
      </c>
      <c r="F643" s="53" t="s">
        <v>4313</v>
      </c>
      <c r="G643" s="56" t="s">
        <v>28</v>
      </c>
      <c r="H643" s="53" t="s">
        <v>4354</v>
      </c>
      <c r="I643" s="53" t="s">
        <v>19</v>
      </c>
      <c r="J643" s="53">
        <v>9068.2999999999993</v>
      </c>
      <c r="K643" s="53">
        <v>54.418599999999998</v>
      </c>
      <c r="L643" s="59">
        <f t="shared" si="76"/>
        <v>166.63971509741154</v>
      </c>
      <c r="M643" s="53">
        <v>60</v>
      </c>
      <c r="N643" s="57">
        <f t="shared" si="74"/>
        <v>151.13833333333332</v>
      </c>
      <c r="O643" s="38">
        <f t="shared" ca="1" si="75"/>
        <v>26</v>
      </c>
      <c r="P643" s="36">
        <f t="shared" ca="1" si="71"/>
        <v>5138.7033333333329</v>
      </c>
      <c r="Q643" s="36">
        <f t="shared" ca="1" si="62"/>
        <v>5138.7033333333329</v>
      </c>
      <c r="R643" s="535" t="s">
        <v>30</v>
      </c>
    </row>
    <row r="644" spans="2:18" s="4" customFormat="1" ht="43.5" customHeight="1" x14ac:dyDescent="0.25">
      <c r="B644" s="24">
        <v>45075</v>
      </c>
      <c r="C644" s="24">
        <v>45091</v>
      </c>
      <c r="D644" s="53" t="s">
        <v>4262</v>
      </c>
      <c r="E644" s="26" t="s">
        <v>4279</v>
      </c>
      <c r="F644" s="53" t="s">
        <v>4313</v>
      </c>
      <c r="G644" s="56" t="s">
        <v>28</v>
      </c>
      <c r="H644" s="53" t="s">
        <v>4354</v>
      </c>
      <c r="I644" s="53" t="s">
        <v>19</v>
      </c>
      <c r="J644" s="53">
        <v>9068.2999999999993</v>
      </c>
      <c r="K644" s="53">
        <v>54.418599999999998</v>
      </c>
      <c r="L644" s="59">
        <f t="shared" si="76"/>
        <v>166.63971509741154</v>
      </c>
      <c r="M644" s="53">
        <v>60</v>
      </c>
      <c r="N644" s="57">
        <f t="shared" si="74"/>
        <v>151.13833333333332</v>
      </c>
      <c r="O644" s="38">
        <f t="shared" ca="1" si="75"/>
        <v>26</v>
      </c>
      <c r="P644" s="36">
        <f t="shared" ca="1" si="71"/>
        <v>5138.7033333333329</v>
      </c>
      <c r="Q644" s="36">
        <f t="shared" ca="1" si="62"/>
        <v>5138.7033333333329</v>
      </c>
      <c r="R644" s="535" t="s">
        <v>30</v>
      </c>
    </row>
    <row r="645" spans="2:18" s="4" customFormat="1" ht="43.5" customHeight="1" x14ac:dyDescent="0.25">
      <c r="B645" s="24">
        <v>45075</v>
      </c>
      <c r="C645" s="24">
        <v>45091</v>
      </c>
      <c r="D645" s="53" t="s">
        <v>4262</v>
      </c>
      <c r="E645" s="26" t="s">
        <v>4280</v>
      </c>
      <c r="F645" s="53" t="s">
        <v>4313</v>
      </c>
      <c r="G645" s="56" t="s">
        <v>28</v>
      </c>
      <c r="H645" s="53" t="s">
        <v>4355</v>
      </c>
      <c r="I645" s="53" t="s">
        <v>19</v>
      </c>
      <c r="J645" s="53">
        <v>9068.2999999999993</v>
      </c>
      <c r="K645" s="53">
        <v>54.418599999999998</v>
      </c>
      <c r="L645" s="59">
        <f t="shared" si="76"/>
        <v>166.63971509741154</v>
      </c>
      <c r="M645" s="53">
        <v>60</v>
      </c>
      <c r="N645" s="57">
        <f t="shared" si="74"/>
        <v>151.13833333333332</v>
      </c>
      <c r="O645" s="38">
        <f t="shared" ca="1" si="75"/>
        <v>26</v>
      </c>
      <c r="P645" s="36">
        <f t="shared" ca="1" si="71"/>
        <v>5138.7033333333329</v>
      </c>
      <c r="Q645" s="36">
        <f t="shared" ca="1" si="62"/>
        <v>5138.7033333333329</v>
      </c>
      <c r="R645" s="535" t="s">
        <v>30</v>
      </c>
    </row>
    <row r="646" spans="2:18" s="4" customFormat="1" ht="43.5" customHeight="1" x14ac:dyDescent="0.25">
      <c r="B646" s="24">
        <v>45075</v>
      </c>
      <c r="C646" s="24">
        <v>45091</v>
      </c>
      <c r="D646" s="53" t="s">
        <v>4262</v>
      </c>
      <c r="E646" s="26" t="s">
        <v>4281</v>
      </c>
      <c r="F646" s="53" t="s">
        <v>4313</v>
      </c>
      <c r="G646" s="56" t="s">
        <v>28</v>
      </c>
      <c r="H646" s="53" t="s">
        <v>4355</v>
      </c>
      <c r="I646" s="53" t="s">
        <v>19</v>
      </c>
      <c r="J646" s="53">
        <v>9068.2999999999993</v>
      </c>
      <c r="K646" s="53">
        <v>54.418599999999998</v>
      </c>
      <c r="L646" s="59">
        <f t="shared" si="76"/>
        <v>166.63971509741154</v>
      </c>
      <c r="M646" s="53">
        <v>60</v>
      </c>
      <c r="N646" s="57">
        <f t="shared" si="74"/>
        <v>151.13833333333332</v>
      </c>
      <c r="O646" s="38">
        <f t="shared" ca="1" si="75"/>
        <v>26</v>
      </c>
      <c r="P646" s="36">
        <f t="shared" ca="1" si="71"/>
        <v>5138.7033333333329</v>
      </c>
      <c r="Q646" s="36">
        <f t="shared" ca="1" si="62"/>
        <v>5138.7033333333329</v>
      </c>
      <c r="R646" s="535" t="s">
        <v>30</v>
      </c>
    </row>
    <row r="647" spans="2:18" s="4" customFormat="1" ht="43.5" customHeight="1" x14ac:dyDescent="0.25">
      <c r="B647" s="24">
        <v>45075</v>
      </c>
      <c r="C647" s="24">
        <v>45091</v>
      </c>
      <c r="D647" s="53" t="s">
        <v>4262</v>
      </c>
      <c r="E647" s="26" t="s">
        <v>4282</v>
      </c>
      <c r="F647" s="53" t="s">
        <v>4313</v>
      </c>
      <c r="G647" s="56" t="s">
        <v>28</v>
      </c>
      <c r="H647" s="53" t="s">
        <v>4355</v>
      </c>
      <c r="I647" s="53" t="s">
        <v>19</v>
      </c>
      <c r="J647" s="53">
        <v>9068.2999999999993</v>
      </c>
      <c r="K647" s="53">
        <v>54.418599999999998</v>
      </c>
      <c r="L647" s="59">
        <f t="shared" si="76"/>
        <v>166.63971509741154</v>
      </c>
      <c r="M647" s="53">
        <v>60</v>
      </c>
      <c r="N647" s="57">
        <f t="shared" si="74"/>
        <v>151.13833333333332</v>
      </c>
      <c r="O647" s="38">
        <f t="shared" ca="1" si="75"/>
        <v>26</v>
      </c>
      <c r="P647" s="36">
        <f t="shared" ca="1" si="71"/>
        <v>5138.7033333333329</v>
      </c>
      <c r="Q647" s="36">
        <f t="shared" ca="1" si="62"/>
        <v>5138.7033333333329</v>
      </c>
      <c r="R647" s="535" t="s">
        <v>30</v>
      </c>
    </row>
    <row r="648" spans="2:18" s="4" customFormat="1" ht="43.5" customHeight="1" x14ac:dyDescent="0.25">
      <c r="B648" s="24">
        <v>45075</v>
      </c>
      <c r="C648" s="24">
        <v>45091</v>
      </c>
      <c r="D648" s="53" t="s">
        <v>4262</v>
      </c>
      <c r="E648" s="26" t="s">
        <v>4283</v>
      </c>
      <c r="F648" s="53" t="s">
        <v>4313</v>
      </c>
      <c r="G648" s="56" t="s">
        <v>28</v>
      </c>
      <c r="H648" s="26" t="s">
        <v>1135</v>
      </c>
      <c r="I648" s="53" t="s">
        <v>19</v>
      </c>
      <c r="J648" s="53">
        <v>9068.2999999999993</v>
      </c>
      <c r="K648" s="53">
        <v>54.418599999999998</v>
      </c>
      <c r="L648" s="59">
        <f t="shared" si="76"/>
        <v>166.63971509741154</v>
      </c>
      <c r="M648" s="53">
        <v>60</v>
      </c>
      <c r="N648" s="57">
        <f t="shared" si="74"/>
        <v>151.13833333333332</v>
      </c>
      <c r="O648" s="38">
        <f t="shared" ca="1" si="75"/>
        <v>26</v>
      </c>
      <c r="P648" s="36">
        <f t="shared" ca="1" si="71"/>
        <v>5138.7033333333329</v>
      </c>
      <c r="Q648" s="36">
        <f t="shared" ca="1" si="62"/>
        <v>5138.7033333333329</v>
      </c>
      <c r="R648" s="535" t="s">
        <v>30</v>
      </c>
    </row>
    <row r="649" spans="2:18" s="4" customFormat="1" ht="43.5" customHeight="1" x14ac:dyDescent="0.25">
      <c r="B649" s="24">
        <v>45075</v>
      </c>
      <c r="C649" s="24">
        <v>45091</v>
      </c>
      <c r="D649" s="53" t="s">
        <v>4262</v>
      </c>
      <c r="E649" s="26" t="s">
        <v>4284</v>
      </c>
      <c r="F649" s="53" t="s">
        <v>4313</v>
      </c>
      <c r="G649" s="56" t="s">
        <v>28</v>
      </c>
      <c r="H649" s="26" t="s">
        <v>1135</v>
      </c>
      <c r="I649" s="53" t="s">
        <v>19</v>
      </c>
      <c r="J649" s="53">
        <v>9068.2999999999993</v>
      </c>
      <c r="K649" s="53">
        <v>54.418599999999998</v>
      </c>
      <c r="L649" s="59">
        <f t="shared" si="76"/>
        <v>166.63971509741154</v>
      </c>
      <c r="M649" s="53">
        <v>60</v>
      </c>
      <c r="N649" s="57">
        <f t="shared" si="74"/>
        <v>151.13833333333332</v>
      </c>
      <c r="O649" s="38">
        <f t="shared" ca="1" si="75"/>
        <v>26</v>
      </c>
      <c r="P649" s="36">
        <f t="shared" ref="P649:P757" ca="1" si="77">IF(OR(J649=0,M649=0,O649=0),0,J649-(N649*O649))</f>
        <v>5138.7033333333329</v>
      </c>
      <c r="Q649" s="36">
        <f t="shared" ca="1" si="62"/>
        <v>5138.7033333333329</v>
      </c>
      <c r="R649" s="535" t="s">
        <v>30</v>
      </c>
    </row>
    <row r="650" spans="2:18" s="4" customFormat="1" ht="43.5" customHeight="1" x14ac:dyDescent="0.25">
      <c r="B650" s="24">
        <v>45075</v>
      </c>
      <c r="C650" s="24">
        <v>45091</v>
      </c>
      <c r="D650" s="53" t="s">
        <v>4262</v>
      </c>
      <c r="E650" s="26" t="s">
        <v>4285</v>
      </c>
      <c r="F650" s="53" t="s">
        <v>4313</v>
      </c>
      <c r="G650" s="56" t="s">
        <v>28</v>
      </c>
      <c r="H650" s="53" t="s">
        <v>4354</v>
      </c>
      <c r="I650" s="53" t="s">
        <v>19</v>
      </c>
      <c r="J650" s="53">
        <v>9068.2999999999993</v>
      </c>
      <c r="K650" s="53">
        <v>54.418599999999998</v>
      </c>
      <c r="L650" s="59">
        <f t="shared" si="76"/>
        <v>166.63971509741154</v>
      </c>
      <c r="M650" s="53">
        <v>60</v>
      </c>
      <c r="N650" s="57">
        <f t="shared" si="74"/>
        <v>151.13833333333332</v>
      </c>
      <c r="O650" s="38">
        <f t="shared" ca="1" si="75"/>
        <v>26</v>
      </c>
      <c r="P650" s="36">
        <f t="shared" ca="1" si="77"/>
        <v>5138.7033333333329</v>
      </c>
      <c r="Q650" s="36">
        <f t="shared" ca="1" si="62"/>
        <v>5138.7033333333329</v>
      </c>
      <c r="R650" s="535" t="s">
        <v>30</v>
      </c>
    </row>
    <row r="651" spans="2:18" s="4" customFormat="1" ht="43.5" customHeight="1" x14ac:dyDescent="0.25">
      <c r="B651" s="24">
        <v>45075</v>
      </c>
      <c r="C651" s="24">
        <v>45091</v>
      </c>
      <c r="D651" s="53" t="s">
        <v>4262</v>
      </c>
      <c r="E651" s="26" t="s">
        <v>4286</v>
      </c>
      <c r="F651" s="53" t="s">
        <v>4313</v>
      </c>
      <c r="G651" s="56" t="s">
        <v>28</v>
      </c>
      <c r="H651" s="53" t="s">
        <v>4354</v>
      </c>
      <c r="I651" s="53" t="s">
        <v>19</v>
      </c>
      <c r="J651" s="53">
        <v>9068.2999999999993</v>
      </c>
      <c r="K651" s="53">
        <v>54.418599999999998</v>
      </c>
      <c r="L651" s="59">
        <f t="shared" si="76"/>
        <v>166.63971509741154</v>
      </c>
      <c r="M651" s="53">
        <v>60</v>
      </c>
      <c r="N651" s="57">
        <f t="shared" si="74"/>
        <v>151.13833333333332</v>
      </c>
      <c r="O651" s="38">
        <f t="shared" ca="1" si="75"/>
        <v>26</v>
      </c>
      <c r="P651" s="36">
        <f t="shared" ca="1" si="77"/>
        <v>5138.7033333333329</v>
      </c>
      <c r="Q651" s="36">
        <f t="shared" ca="1" si="62"/>
        <v>5138.7033333333329</v>
      </c>
      <c r="R651" s="535" t="s">
        <v>30</v>
      </c>
    </row>
    <row r="652" spans="2:18" s="4" customFormat="1" ht="43.5" customHeight="1" x14ac:dyDescent="0.25">
      <c r="B652" s="24">
        <v>45075</v>
      </c>
      <c r="C652" s="24">
        <v>45091</v>
      </c>
      <c r="D652" s="53" t="s">
        <v>4262</v>
      </c>
      <c r="E652" s="26" t="s">
        <v>4287</v>
      </c>
      <c r="F652" s="53" t="s">
        <v>4313</v>
      </c>
      <c r="G652" s="56" t="s">
        <v>28</v>
      </c>
      <c r="H652" s="53" t="s">
        <v>4354</v>
      </c>
      <c r="I652" s="53" t="s">
        <v>19</v>
      </c>
      <c r="J652" s="53">
        <v>9068.2999999999993</v>
      </c>
      <c r="K652" s="53">
        <v>54.418599999999998</v>
      </c>
      <c r="L652" s="59">
        <f t="shared" si="76"/>
        <v>166.63971509741154</v>
      </c>
      <c r="M652" s="53">
        <v>60</v>
      </c>
      <c r="N652" s="57">
        <f t="shared" si="74"/>
        <v>151.13833333333332</v>
      </c>
      <c r="O652" s="38">
        <f t="shared" ca="1" si="75"/>
        <v>26</v>
      </c>
      <c r="P652" s="36">
        <f t="shared" ca="1" si="77"/>
        <v>5138.7033333333329</v>
      </c>
      <c r="Q652" s="36">
        <f t="shared" ca="1" si="62"/>
        <v>5138.7033333333329</v>
      </c>
      <c r="R652" s="535" t="s">
        <v>30</v>
      </c>
    </row>
    <row r="653" spans="2:18" s="4" customFormat="1" ht="43.5" customHeight="1" x14ac:dyDescent="0.25">
      <c r="B653" s="24">
        <v>45075</v>
      </c>
      <c r="C653" s="24">
        <v>45091</v>
      </c>
      <c r="D653" s="53" t="s">
        <v>4262</v>
      </c>
      <c r="E653" s="26" t="s">
        <v>4288</v>
      </c>
      <c r="F653" s="53" t="s">
        <v>4313</v>
      </c>
      <c r="G653" s="56" t="s">
        <v>28</v>
      </c>
      <c r="H653" s="53" t="s">
        <v>4354</v>
      </c>
      <c r="I653" s="53" t="s">
        <v>19</v>
      </c>
      <c r="J653" s="53">
        <v>9068.2999999999993</v>
      </c>
      <c r="K653" s="53">
        <v>54.418599999999998</v>
      </c>
      <c r="L653" s="59">
        <f t="shared" si="76"/>
        <v>166.63971509741154</v>
      </c>
      <c r="M653" s="53">
        <v>60</v>
      </c>
      <c r="N653" s="57">
        <f t="shared" si="74"/>
        <v>151.13833333333332</v>
      </c>
      <c r="O653" s="38">
        <f t="shared" ca="1" si="75"/>
        <v>26</v>
      </c>
      <c r="P653" s="36">
        <f t="shared" ca="1" si="77"/>
        <v>5138.7033333333329</v>
      </c>
      <c r="Q653" s="36">
        <f t="shared" ca="1" si="62"/>
        <v>5138.7033333333329</v>
      </c>
      <c r="R653" s="535" t="s">
        <v>30</v>
      </c>
    </row>
    <row r="654" spans="2:18" s="4" customFormat="1" ht="43.5" customHeight="1" x14ac:dyDescent="0.25">
      <c r="B654" s="24">
        <v>45075</v>
      </c>
      <c r="C654" s="24">
        <v>45091</v>
      </c>
      <c r="D654" s="53" t="s">
        <v>4262</v>
      </c>
      <c r="E654" s="26" t="s">
        <v>4289</v>
      </c>
      <c r="F654" s="53" t="s">
        <v>4313</v>
      </c>
      <c r="G654" s="56" t="s">
        <v>28</v>
      </c>
      <c r="H654" s="53" t="s">
        <v>4354</v>
      </c>
      <c r="I654" s="53" t="s">
        <v>19</v>
      </c>
      <c r="J654" s="53">
        <v>9068.2999999999993</v>
      </c>
      <c r="K654" s="53">
        <v>54.418599999999998</v>
      </c>
      <c r="L654" s="59">
        <f t="shared" si="76"/>
        <v>166.63971509741154</v>
      </c>
      <c r="M654" s="53">
        <v>60</v>
      </c>
      <c r="N654" s="57">
        <f t="shared" si="74"/>
        <v>151.13833333333332</v>
      </c>
      <c r="O654" s="38">
        <f t="shared" ca="1" si="75"/>
        <v>26</v>
      </c>
      <c r="P654" s="36">
        <f t="shared" ca="1" si="77"/>
        <v>5138.7033333333329</v>
      </c>
      <c r="Q654" s="36">
        <f t="shared" ca="1" si="62"/>
        <v>5138.7033333333329</v>
      </c>
      <c r="R654" s="535" t="s">
        <v>30</v>
      </c>
    </row>
    <row r="655" spans="2:18" s="4" customFormat="1" ht="43.5" customHeight="1" x14ac:dyDescent="0.25">
      <c r="B655" s="24">
        <v>45075</v>
      </c>
      <c r="C655" s="24">
        <v>45091</v>
      </c>
      <c r="D655" s="53" t="s">
        <v>4262</v>
      </c>
      <c r="E655" s="26" t="s">
        <v>4290</v>
      </c>
      <c r="F655" s="53" t="s">
        <v>4313</v>
      </c>
      <c r="G655" s="56" t="s">
        <v>28</v>
      </c>
      <c r="H655" s="53" t="s">
        <v>4354</v>
      </c>
      <c r="I655" s="53" t="s">
        <v>19</v>
      </c>
      <c r="J655" s="53">
        <v>9068.2999999999993</v>
      </c>
      <c r="K655" s="53">
        <v>54.418599999999998</v>
      </c>
      <c r="L655" s="59">
        <f t="shared" si="76"/>
        <v>166.63971509741154</v>
      </c>
      <c r="M655" s="53">
        <v>60</v>
      </c>
      <c r="N655" s="57">
        <f t="shared" si="74"/>
        <v>151.13833333333332</v>
      </c>
      <c r="O655" s="38">
        <f t="shared" ca="1" si="75"/>
        <v>26</v>
      </c>
      <c r="P655" s="36">
        <f t="shared" ca="1" si="77"/>
        <v>5138.7033333333329</v>
      </c>
      <c r="Q655" s="36">
        <f t="shared" ca="1" si="62"/>
        <v>5138.7033333333329</v>
      </c>
      <c r="R655" s="535" t="s">
        <v>30</v>
      </c>
    </row>
    <row r="656" spans="2:18" s="4" customFormat="1" ht="43.5" customHeight="1" x14ac:dyDescent="0.25">
      <c r="B656" s="24">
        <v>45075</v>
      </c>
      <c r="C656" s="24">
        <v>45091</v>
      </c>
      <c r="D656" s="53" t="s">
        <v>4262</v>
      </c>
      <c r="E656" s="26" t="s">
        <v>4291</v>
      </c>
      <c r="F656" s="53" t="s">
        <v>4313</v>
      </c>
      <c r="G656" s="56" t="s">
        <v>28</v>
      </c>
      <c r="H656" s="53" t="s">
        <v>3856</v>
      </c>
      <c r="I656" s="53" t="s">
        <v>19</v>
      </c>
      <c r="J656" s="53">
        <v>9068.2999999999993</v>
      </c>
      <c r="K656" s="53">
        <v>54.418599999999998</v>
      </c>
      <c r="L656" s="59">
        <f t="shared" si="76"/>
        <v>166.63971509741154</v>
      </c>
      <c r="M656" s="53">
        <v>60</v>
      </c>
      <c r="N656" s="57">
        <f t="shared" ref="N656:N757" si="78">J656/M656</f>
        <v>151.13833333333332</v>
      </c>
      <c r="O656" s="38">
        <f t="shared" ref="O656:O761" ca="1" si="79">IF(B656&lt;&gt;0,(ROUND((NOW()-B656)/30,0)),0)</f>
        <v>26</v>
      </c>
      <c r="P656" s="36">
        <f t="shared" ca="1" si="77"/>
        <v>5138.7033333333329</v>
      </c>
      <c r="Q656" s="36">
        <f t="shared" ca="1" si="62"/>
        <v>5138.7033333333329</v>
      </c>
      <c r="R656" s="535" t="s">
        <v>30</v>
      </c>
    </row>
    <row r="657" spans="2:18" s="4" customFormat="1" ht="43.5" customHeight="1" x14ac:dyDescent="0.25">
      <c r="B657" s="24">
        <v>45075</v>
      </c>
      <c r="C657" s="24">
        <v>45091</v>
      </c>
      <c r="D657" s="53" t="s">
        <v>4262</v>
      </c>
      <c r="E657" s="26" t="s">
        <v>4292</v>
      </c>
      <c r="F657" s="53" t="s">
        <v>4313</v>
      </c>
      <c r="G657" s="56" t="s">
        <v>28</v>
      </c>
      <c r="H657" s="53" t="s">
        <v>3856</v>
      </c>
      <c r="I657" s="53" t="s">
        <v>19</v>
      </c>
      <c r="J657" s="53">
        <v>9068.2999999999993</v>
      </c>
      <c r="K657" s="53">
        <v>54.418599999999998</v>
      </c>
      <c r="L657" s="59">
        <f t="shared" si="76"/>
        <v>166.63971509741154</v>
      </c>
      <c r="M657" s="53">
        <v>60</v>
      </c>
      <c r="N657" s="57">
        <f t="shared" si="78"/>
        <v>151.13833333333332</v>
      </c>
      <c r="O657" s="38">
        <f t="shared" ca="1" si="79"/>
        <v>26</v>
      </c>
      <c r="P657" s="36">
        <f t="shared" ca="1" si="77"/>
        <v>5138.7033333333329</v>
      </c>
      <c r="Q657" s="36">
        <f t="shared" ca="1" si="62"/>
        <v>5138.7033333333329</v>
      </c>
      <c r="R657" s="535" t="s">
        <v>30</v>
      </c>
    </row>
    <row r="658" spans="2:18" s="4" customFormat="1" ht="43.5" customHeight="1" x14ac:dyDescent="0.25">
      <c r="B658" s="24">
        <v>45075</v>
      </c>
      <c r="C658" s="24">
        <v>45091</v>
      </c>
      <c r="D658" s="53" t="s">
        <v>4262</v>
      </c>
      <c r="E658" s="26" t="s">
        <v>4293</v>
      </c>
      <c r="F658" s="53" t="s">
        <v>4313</v>
      </c>
      <c r="G658" s="56" t="s">
        <v>28</v>
      </c>
      <c r="H658" s="53" t="s">
        <v>3856</v>
      </c>
      <c r="I658" s="53" t="s">
        <v>19</v>
      </c>
      <c r="J658" s="53">
        <v>9068.2999999999993</v>
      </c>
      <c r="K658" s="53">
        <v>54.418599999999998</v>
      </c>
      <c r="L658" s="59">
        <f t="shared" si="76"/>
        <v>166.63971509741154</v>
      </c>
      <c r="M658" s="53">
        <v>60</v>
      </c>
      <c r="N658" s="57">
        <f t="shared" si="78"/>
        <v>151.13833333333332</v>
      </c>
      <c r="O658" s="38">
        <f t="shared" ca="1" si="79"/>
        <v>26</v>
      </c>
      <c r="P658" s="36">
        <f t="shared" ca="1" si="77"/>
        <v>5138.7033333333329</v>
      </c>
      <c r="Q658" s="36">
        <f t="shared" ca="1" si="62"/>
        <v>5138.7033333333329</v>
      </c>
      <c r="R658" s="535" t="s">
        <v>30</v>
      </c>
    </row>
    <row r="659" spans="2:18" s="4" customFormat="1" ht="43.5" customHeight="1" x14ac:dyDescent="0.25">
      <c r="B659" s="24">
        <v>45075</v>
      </c>
      <c r="C659" s="24">
        <v>45091</v>
      </c>
      <c r="D659" s="53" t="s">
        <v>4262</v>
      </c>
      <c r="E659" s="26" t="s">
        <v>4294</v>
      </c>
      <c r="F659" s="53" t="s">
        <v>4313</v>
      </c>
      <c r="G659" s="56" t="s">
        <v>28</v>
      </c>
      <c r="H659" s="53" t="s">
        <v>3856</v>
      </c>
      <c r="I659" s="53" t="s">
        <v>19</v>
      </c>
      <c r="J659" s="53">
        <v>9068.2999999999993</v>
      </c>
      <c r="K659" s="53">
        <v>54.418599999999998</v>
      </c>
      <c r="L659" s="59">
        <f t="shared" si="76"/>
        <v>166.63971509741154</v>
      </c>
      <c r="M659" s="53">
        <v>60</v>
      </c>
      <c r="N659" s="57">
        <f t="shared" si="78"/>
        <v>151.13833333333332</v>
      </c>
      <c r="O659" s="38">
        <f t="shared" ca="1" si="79"/>
        <v>26</v>
      </c>
      <c r="P659" s="36">
        <f t="shared" ca="1" si="77"/>
        <v>5138.7033333333329</v>
      </c>
      <c r="Q659" s="36">
        <f t="shared" ca="1" si="62"/>
        <v>5138.7033333333329</v>
      </c>
      <c r="R659" s="535" t="s">
        <v>30</v>
      </c>
    </row>
    <row r="660" spans="2:18" s="4" customFormat="1" ht="43.5" customHeight="1" x14ac:dyDescent="0.25">
      <c r="B660" s="24">
        <v>45075</v>
      </c>
      <c r="C660" s="24">
        <v>45091</v>
      </c>
      <c r="D660" s="53" t="s">
        <v>4262</v>
      </c>
      <c r="E660" s="26" t="s">
        <v>4295</v>
      </c>
      <c r="F660" s="53" t="s">
        <v>4313</v>
      </c>
      <c r="G660" s="56" t="s">
        <v>28</v>
      </c>
      <c r="H660" s="53" t="s">
        <v>4362</v>
      </c>
      <c r="I660" s="53" t="s">
        <v>19</v>
      </c>
      <c r="J660" s="53">
        <v>9068.2999999999993</v>
      </c>
      <c r="K660" s="53">
        <v>54.418599999999998</v>
      </c>
      <c r="L660" s="59">
        <f t="shared" si="76"/>
        <v>166.63971509741154</v>
      </c>
      <c r="M660" s="53">
        <v>60</v>
      </c>
      <c r="N660" s="57">
        <f t="shared" si="78"/>
        <v>151.13833333333332</v>
      </c>
      <c r="O660" s="38">
        <f t="shared" ca="1" si="79"/>
        <v>26</v>
      </c>
      <c r="P660" s="36">
        <f t="shared" ca="1" si="77"/>
        <v>5138.7033333333329</v>
      </c>
      <c r="Q660" s="36">
        <f t="shared" ca="1" si="62"/>
        <v>5138.7033333333329</v>
      </c>
      <c r="R660" s="535" t="s">
        <v>30</v>
      </c>
    </row>
    <row r="661" spans="2:18" s="4" customFormat="1" ht="43.5" customHeight="1" x14ac:dyDescent="0.25">
      <c r="B661" s="24">
        <v>45075</v>
      </c>
      <c r="C661" s="24">
        <v>45091</v>
      </c>
      <c r="D661" s="53" t="s">
        <v>4262</v>
      </c>
      <c r="E661" s="26" t="s">
        <v>4296</v>
      </c>
      <c r="F661" s="53" t="s">
        <v>4313</v>
      </c>
      <c r="G661" s="56" t="s">
        <v>28</v>
      </c>
      <c r="H661" s="53" t="s">
        <v>4362</v>
      </c>
      <c r="I661" s="53" t="s">
        <v>19</v>
      </c>
      <c r="J661" s="53">
        <v>9068.2999999999993</v>
      </c>
      <c r="K661" s="53">
        <v>54.418599999999998</v>
      </c>
      <c r="L661" s="59">
        <f t="shared" si="76"/>
        <v>166.63971509741154</v>
      </c>
      <c r="M661" s="53">
        <v>60</v>
      </c>
      <c r="N661" s="57">
        <f t="shared" si="78"/>
        <v>151.13833333333332</v>
      </c>
      <c r="O661" s="38">
        <f t="shared" ca="1" si="79"/>
        <v>26</v>
      </c>
      <c r="P661" s="36">
        <f t="shared" ca="1" si="77"/>
        <v>5138.7033333333329</v>
      </c>
      <c r="Q661" s="36">
        <f t="shared" ca="1" si="62"/>
        <v>5138.7033333333329</v>
      </c>
      <c r="R661" s="535" t="s">
        <v>30</v>
      </c>
    </row>
    <row r="662" spans="2:18" s="4" customFormat="1" ht="43.5" customHeight="1" x14ac:dyDescent="0.25">
      <c r="B662" s="24">
        <v>45075</v>
      </c>
      <c r="C662" s="24">
        <v>45091</v>
      </c>
      <c r="D662" s="53" t="s">
        <v>4262</v>
      </c>
      <c r="E662" s="26" t="s">
        <v>4297</v>
      </c>
      <c r="F662" s="53" t="s">
        <v>4313</v>
      </c>
      <c r="G662" s="56" t="s">
        <v>28</v>
      </c>
      <c r="H662" s="53" t="s">
        <v>4362</v>
      </c>
      <c r="I662" s="53" t="s">
        <v>19</v>
      </c>
      <c r="J662" s="53">
        <v>9068.2999999999993</v>
      </c>
      <c r="K662" s="53">
        <v>54.418599999999998</v>
      </c>
      <c r="L662" s="59">
        <f t="shared" si="76"/>
        <v>166.63971509741154</v>
      </c>
      <c r="M662" s="53">
        <v>60</v>
      </c>
      <c r="N662" s="57">
        <f t="shared" si="78"/>
        <v>151.13833333333332</v>
      </c>
      <c r="O662" s="38">
        <f t="shared" ca="1" si="79"/>
        <v>26</v>
      </c>
      <c r="P662" s="36">
        <f t="shared" ca="1" si="77"/>
        <v>5138.7033333333329</v>
      </c>
      <c r="Q662" s="36">
        <f t="shared" ca="1" si="62"/>
        <v>5138.7033333333329</v>
      </c>
      <c r="R662" s="535" t="s">
        <v>30</v>
      </c>
    </row>
    <row r="663" spans="2:18" s="4" customFormat="1" ht="43.5" customHeight="1" x14ac:dyDescent="0.25">
      <c r="B663" s="24">
        <v>45075</v>
      </c>
      <c r="C663" s="24">
        <v>45091</v>
      </c>
      <c r="D663" s="53" t="s">
        <v>4262</v>
      </c>
      <c r="E663" s="26" t="s">
        <v>4298</v>
      </c>
      <c r="F663" s="53" t="s">
        <v>4314</v>
      </c>
      <c r="G663" s="56" t="s">
        <v>28</v>
      </c>
      <c r="H663" s="25" t="s">
        <v>4359</v>
      </c>
      <c r="I663" s="53" t="s">
        <v>19</v>
      </c>
      <c r="J663" s="53">
        <v>8850</v>
      </c>
      <c r="K663" s="53">
        <v>54.418599999999998</v>
      </c>
      <c r="L663" s="59">
        <f t="shared" si="76"/>
        <v>162.62821902805291</v>
      </c>
      <c r="M663" s="53">
        <v>60</v>
      </c>
      <c r="N663" s="57">
        <f t="shared" si="78"/>
        <v>147.5</v>
      </c>
      <c r="O663" s="38">
        <f t="shared" ca="1" si="79"/>
        <v>26</v>
      </c>
      <c r="P663" s="36">
        <f t="shared" ca="1" si="77"/>
        <v>5015</v>
      </c>
      <c r="Q663" s="36">
        <f t="shared" ca="1" si="62"/>
        <v>5015</v>
      </c>
      <c r="R663" s="535" t="s">
        <v>30</v>
      </c>
    </row>
    <row r="664" spans="2:18" s="4" customFormat="1" ht="43.5" customHeight="1" x14ac:dyDescent="0.25">
      <c r="B664" s="24">
        <v>45075</v>
      </c>
      <c r="C664" s="24">
        <v>45091</v>
      </c>
      <c r="D664" s="53" t="s">
        <v>4262</v>
      </c>
      <c r="E664" s="26" t="s">
        <v>4299</v>
      </c>
      <c r="F664" s="53" t="s">
        <v>4314</v>
      </c>
      <c r="G664" s="56" t="s">
        <v>28</v>
      </c>
      <c r="H664" s="25" t="s">
        <v>4360</v>
      </c>
      <c r="I664" s="53" t="s">
        <v>19</v>
      </c>
      <c r="J664" s="53">
        <v>8850</v>
      </c>
      <c r="K664" s="53">
        <v>54.418599999999998</v>
      </c>
      <c r="L664" s="59">
        <f t="shared" si="76"/>
        <v>162.62821902805291</v>
      </c>
      <c r="M664" s="53">
        <v>60</v>
      </c>
      <c r="N664" s="57">
        <f t="shared" si="78"/>
        <v>147.5</v>
      </c>
      <c r="O664" s="38">
        <f t="shared" ca="1" si="79"/>
        <v>26</v>
      </c>
      <c r="P664" s="36">
        <f t="shared" ca="1" si="77"/>
        <v>5015</v>
      </c>
      <c r="Q664" s="36">
        <f t="shared" ca="1" si="62"/>
        <v>5015</v>
      </c>
      <c r="R664" s="535" t="s">
        <v>30</v>
      </c>
    </row>
    <row r="665" spans="2:18" s="4" customFormat="1" ht="43.5" customHeight="1" x14ac:dyDescent="0.25">
      <c r="B665" s="24">
        <v>45075</v>
      </c>
      <c r="C665" s="24">
        <v>45091</v>
      </c>
      <c r="D665" s="53" t="s">
        <v>4262</v>
      </c>
      <c r="E665" s="26" t="s">
        <v>4300</v>
      </c>
      <c r="F665" s="53" t="s">
        <v>4314</v>
      </c>
      <c r="G665" s="56" t="s">
        <v>28</v>
      </c>
      <c r="H665" s="53" t="s">
        <v>4353</v>
      </c>
      <c r="I665" s="53" t="s">
        <v>19</v>
      </c>
      <c r="J665" s="53">
        <v>8850</v>
      </c>
      <c r="K665" s="53">
        <v>54.418599999999998</v>
      </c>
      <c r="L665" s="59">
        <f t="shared" si="76"/>
        <v>162.62821902805291</v>
      </c>
      <c r="M665" s="53">
        <v>60</v>
      </c>
      <c r="N665" s="57">
        <f t="shared" si="78"/>
        <v>147.5</v>
      </c>
      <c r="O665" s="38">
        <f t="shared" ca="1" si="79"/>
        <v>26</v>
      </c>
      <c r="P665" s="36">
        <f t="shared" ca="1" si="77"/>
        <v>5015</v>
      </c>
      <c r="Q665" s="36">
        <f t="shared" ca="1" si="62"/>
        <v>5015</v>
      </c>
      <c r="R665" s="535" t="s">
        <v>30</v>
      </c>
    </row>
    <row r="666" spans="2:18" s="4" customFormat="1" ht="43.5" customHeight="1" x14ac:dyDescent="0.25">
      <c r="B666" s="24">
        <v>45075</v>
      </c>
      <c r="C666" s="24">
        <v>45091</v>
      </c>
      <c r="D666" s="53" t="s">
        <v>4262</v>
      </c>
      <c r="E666" s="26" t="s">
        <v>4301</v>
      </c>
      <c r="F666" s="53" t="s">
        <v>4314</v>
      </c>
      <c r="G666" s="56" t="s">
        <v>28</v>
      </c>
      <c r="H666" s="53" t="s">
        <v>4353</v>
      </c>
      <c r="I666" s="53" t="s">
        <v>19</v>
      </c>
      <c r="J666" s="53">
        <v>8850</v>
      </c>
      <c r="K666" s="53">
        <v>54.418599999999998</v>
      </c>
      <c r="L666" s="59">
        <f t="shared" si="76"/>
        <v>162.62821902805291</v>
      </c>
      <c r="M666" s="53">
        <v>60</v>
      </c>
      <c r="N666" s="57">
        <f t="shared" si="78"/>
        <v>147.5</v>
      </c>
      <c r="O666" s="38">
        <f t="shared" ca="1" si="79"/>
        <v>26</v>
      </c>
      <c r="P666" s="36">
        <f t="shared" ca="1" si="77"/>
        <v>5015</v>
      </c>
      <c r="Q666" s="36">
        <f t="shared" ca="1" si="62"/>
        <v>5015</v>
      </c>
      <c r="R666" s="535" t="s">
        <v>30</v>
      </c>
    </row>
    <row r="667" spans="2:18" s="4" customFormat="1" ht="43.5" customHeight="1" x14ac:dyDescent="0.25">
      <c r="B667" s="24">
        <v>45075</v>
      </c>
      <c r="C667" s="24">
        <v>45091</v>
      </c>
      <c r="D667" s="53" t="s">
        <v>4262</v>
      </c>
      <c r="E667" s="26" t="s">
        <v>4302</v>
      </c>
      <c r="F667" s="53" t="s">
        <v>4314</v>
      </c>
      <c r="G667" s="56" t="s">
        <v>28</v>
      </c>
      <c r="H667" s="53" t="s">
        <v>4353</v>
      </c>
      <c r="I667" s="53" t="s">
        <v>19</v>
      </c>
      <c r="J667" s="53">
        <v>8850</v>
      </c>
      <c r="K667" s="53">
        <v>54.418599999999998</v>
      </c>
      <c r="L667" s="59">
        <f t="shared" si="76"/>
        <v>162.62821902805291</v>
      </c>
      <c r="M667" s="53">
        <v>60</v>
      </c>
      <c r="N667" s="57">
        <f t="shared" si="78"/>
        <v>147.5</v>
      </c>
      <c r="O667" s="38">
        <f t="shared" ca="1" si="79"/>
        <v>26</v>
      </c>
      <c r="P667" s="36">
        <f t="shared" ca="1" si="77"/>
        <v>5015</v>
      </c>
      <c r="Q667" s="36">
        <f t="shared" ca="1" si="62"/>
        <v>5015</v>
      </c>
      <c r="R667" s="535" t="s">
        <v>30</v>
      </c>
    </row>
    <row r="668" spans="2:18" s="4" customFormat="1" ht="43.5" customHeight="1" x14ac:dyDescent="0.25">
      <c r="B668" s="24">
        <v>45075</v>
      </c>
      <c r="C668" s="24">
        <v>45091</v>
      </c>
      <c r="D668" s="53" t="s">
        <v>4262</v>
      </c>
      <c r="E668" s="26" t="s">
        <v>4303</v>
      </c>
      <c r="F668" s="53" t="s">
        <v>4314</v>
      </c>
      <c r="G668" s="56" t="s">
        <v>28</v>
      </c>
      <c r="H668" s="53" t="s">
        <v>4353</v>
      </c>
      <c r="I668" s="53" t="s">
        <v>19</v>
      </c>
      <c r="J668" s="53">
        <v>8850</v>
      </c>
      <c r="K668" s="53">
        <v>54.418599999999998</v>
      </c>
      <c r="L668" s="59">
        <f t="shared" si="76"/>
        <v>162.62821902805291</v>
      </c>
      <c r="M668" s="53">
        <v>60</v>
      </c>
      <c r="N668" s="57">
        <f t="shared" si="78"/>
        <v>147.5</v>
      </c>
      <c r="O668" s="38">
        <f t="shared" ca="1" si="79"/>
        <v>26</v>
      </c>
      <c r="P668" s="36">
        <f t="shared" ca="1" si="77"/>
        <v>5015</v>
      </c>
      <c r="Q668" s="36">
        <f t="shared" ca="1" si="62"/>
        <v>5015</v>
      </c>
      <c r="R668" s="535" t="s">
        <v>30</v>
      </c>
    </row>
    <row r="669" spans="2:18" s="4" customFormat="1" ht="43.5" customHeight="1" x14ac:dyDescent="0.25">
      <c r="B669" s="24">
        <v>45075</v>
      </c>
      <c r="C669" s="24">
        <v>45091</v>
      </c>
      <c r="D669" s="53" t="s">
        <v>4262</v>
      </c>
      <c r="E669" s="26" t="s">
        <v>4304</v>
      </c>
      <c r="F669" s="53" t="s">
        <v>4314</v>
      </c>
      <c r="G669" s="56" t="s">
        <v>28</v>
      </c>
      <c r="H669" s="53" t="s">
        <v>4353</v>
      </c>
      <c r="I669" s="53" t="s">
        <v>19</v>
      </c>
      <c r="J669" s="53">
        <v>8850</v>
      </c>
      <c r="K669" s="53">
        <v>54.418599999999998</v>
      </c>
      <c r="L669" s="59">
        <f t="shared" si="76"/>
        <v>162.62821902805291</v>
      </c>
      <c r="M669" s="53">
        <v>60</v>
      </c>
      <c r="N669" s="57">
        <f t="shared" si="78"/>
        <v>147.5</v>
      </c>
      <c r="O669" s="38">
        <f t="shared" ca="1" si="79"/>
        <v>26</v>
      </c>
      <c r="P669" s="36">
        <f t="shared" ca="1" si="77"/>
        <v>5015</v>
      </c>
      <c r="Q669" s="36">
        <f t="shared" ref="Q669:Q757" ca="1" si="80">IF(P669&lt;1,1,P669)</f>
        <v>5015</v>
      </c>
      <c r="R669" s="535" t="s">
        <v>30</v>
      </c>
    </row>
    <row r="670" spans="2:18" s="4" customFormat="1" ht="43.5" customHeight="1" x14ac:dyDescent="0.25">
      <c r="B670" s="24">
        <v>45075</v>
      </c>
      <c r="C670" s="24">
        <v>45091</v>
      </c>
      <c r="D670" s="53" t="s">
        <v>4262</v>
      </c>
      <c r="E670" s="26" t="s">
        <v>4305</v>
      </c>
      <c r="F670" s="53" t="s">
        <v>4314</v>
      </c>
      <c r="G670" s="56" t="s">
        <v>28</v>
      </c>
      <c r="H670" s="53" t="s">
        <v>4353</v>
      </c>
      <c r="I670" s="53" t="s">
        <v>19</v>
      </c>
      <c r="J670" s="53">
        <v>8850</v>
      </c>
      <c r="K670" s="53">
        <v>54.418599999999998</v>
      </c>
      <c r="L670" s="59">
        <f t="shared" si="76"/>
        <v>162.62821902805291</v>
      </c>
      <c r="M670" s="53">
        <v>60</v>
      </c>
      <c r="N670" s="57">
        <f t="shared" si="78"/>
        <v>147.5</v>
      </c>
      <c r="O670" s="38">
        <f t="shared" ca="1" si="79"/>
        <v>26</v>
      </c>
      <c r="P670" s="36">
        <f t="shared" ca="1" si="77"/>
        <v>5015</v>
      </c>
      <c r="Q670" s="36">
        <f t="shared" ca="1" si="80"/>
        <v>5015</v>
      </c>
      <c r="R670" s="535" t="s">
        <v>30</v>
      </c>
    </row>
    <row r="671" spans="2:18" s="4" customFormat="1" ht="43.5" customHeight="1" x14ac:dyDescent="0.25">
      <c r="B671" s="24">
        <v>45075</v>
      </c>
      <c r="C671" s="24">
        <v>45091</v>
      </c>
      <c r="D671" s="53" t="s">
        <v>4262</v>
      </c>
      <c r="E671" s="26" t="s">
        <v>4306</v>
      </c>
      <c r="F671" s="53" t="s">
        <v>4314</v>
      </c>
      <c r="G671" s="56" t="s">
        <v>28</v>
      </c>
      <c r="H671" s="53" t="s">
        <v>4353</v>
      </c>
      <c r="I671" s="53" t="s">
        <v>19</v>
      </c>
      <c r="J671" s="53">
        <v>8850</v>
      </c>
      <c r="K671" s="53">
        <v>54.418599999999998</v>
      </c>
      <c r="L671" s="59">
        <f t="shared" si="76"/>
        <v>162.62821902805291</v>
      </c>
      <c r="M671" s="53">
        <v>60</v>
      </c>
      <c r="N671" s="57">
        <f t="shared" si="78"/>
        <v>147.5</v>
      </c>
      <c r="O671" s="38">
        <f t="shared" ca="1" si="79"/>
        <v>26</v>
      </c>
      <c r="P671" s="36">
        <f t="shared" ca="1" si="77"/>
        <v>5015</v>
      </c>
      <c r="Q671" s="36">
        <f t="shared" ca="1" si="80"/>
        <v>5015</v>
      </c>
      <c r="R671" s="535" t="s">
        <v>30</v>
      </c>
    </row>
    <row r="672" spans="2:18" s="4" customFormat="1" ht="43.5" customHeight="1" x14ac:dyDescent="0.25">
      <c r="B672" s="24">
        <v>45075</v>
      </c>
      <c r="C672" s="24">
        <v>45091</v>
      </c>
      <c r="D672" s="53" t="s">
        <v>4262</v>
      </c>
      <c r="E672" s="26" t="s">
        <v>4307</v>
      </c>
      <c r="F672" s="53" t="s">
        <v>4314</v>
      </c>
      <c r="G672" s="56" t="s">
        <v>28</v>
      </c>
      <c r="H672" s="53" t="s">
        <v>4363</v>
      </c>
      <c r="I672" s="53" t="s">
        <v>19</v>
      </c>
      <c r="J672" s="53">
        <v>8850</v>
      </c>
      <c r="K672" s="53">
        <v>54.418599999999998</v>
      </c>
      <c r="L672" s="59">
        <f t="shared" si="76"/>
        <v>162.62821902805291</v>
      </c>
      <c r="M672" s="53">
        <v>60</v>
      </c>
      <c r="N672" s="57">
        <f t="shared" si="78"/>
        <v>147.5</v>
      </c>
      <c r="O672" s="38">
        <f t="shared" ca="1" si="79"/>
        <v>26</v>
      </c>
      <c r="P672" s="36">
        <f t="shared" ca="1" si="77"/>
        <v>5015</v>
      </c>
      <c r="Q672" s="36">
        <f t="shared" ca="1" si="80"/>
        <v>5015</v>
      </c>
      <c r="R672" s="535" t="s">
        <v>30</v>
      </c>
    </row>
    <row r="673" spans="1:18" s="4" customFormat="1" ht="43.5" customHeight="1" x14ac:dyDescent="0.25">
      <c r="B673" s="24">
        <v>45075</v>
      </c>
      <c r="C673" s="24">
        <v>45091</v>
      </c>
      <c r="D673" s="53" t="s">
        <v>4262</v>
      </c>
      <c r="E673" s="26" t="s">
        <v>4308</v>
      </c>
      <c r="F673" s="53" t="s">
        <v>4314</v>
      </c>
      <c r="G673" s="56" t="s">
        <v>28</v>
      </c>
      <c r="H673" s="53" t="s">
        <v>4363</v>
      </c>
      <c r="I673" s="53" t="s">
        <v>19</v>
      </c>
      <c r="J673" s="53">
        <v>8850</v>
      </c>
      <c r="K673" s="53">
        <v>54.418599999999998</v>
      </c>
      <c r="L673" s="59">
        <f t="shared" si="76"/>
        <v>162.62821902805291</v>
      </c>
      <c r="M673" s="53">
        <v>60</v>
      </c>
      <c r="N673" s="57">
        <f t="shared" si="78"/>
        <v>147.5</v>
      </c>
      <c r="O673" s="38">
        <f t="shared" ca="1" si="79"/>
        <v>26</v>
      </c>
      <c r="P673" s="36">
        <f t="shared" ca="1" si="77"/>
        <v>5015</v>
      </c>
      <c r="Q673" s="36">
        <f t="shared" ca="1" si="80"/>
        <v>5015</v>
      </c>
      <c r="R673" s="535" t="s">
        <v>30</v>
      </c>
    </row>
    <row r="674" spans="1:18" s="4" customFormat="1" ht="43.5" customHeight="1" x14ac:dyDescent="0.25">
      <c r="B674" s="24">
        <v>45075</v>
      </c>
      <c r="C674" s="24">
        <v>45091</v>
      </c>
      <c r="D674" s="53" t="s">
        <v>4262</v>
      </c>
      <c r="E674" s="26" t="s">
        <v>4309</v>
      </c>
      <c r="F674" s="53" t="s">
        <v>4314</v>
      </c>
      <c r="G674" s="56" t="s">
        <v>28</v>
      </c>
      <c r="H674" s="508" t="s">
        <v>3458</v>
      </c>
      <c r="I674" s="53" t="s">
        <v>19</v>
      </c>
      <c r="J674" s="53">
        <v>8850</v>
      </c>
      <c r="K674" s="53">
        <v>54.418599999999998</v>
      </c>
      <c r="L674" s="59">
        <f t="shared" si="76"/>
        <v>162.62821902805291</v>
      </c>
      <c r="M674" s="53">
        <v>60</v>
      </c>
      <c r="N674" s="57">
        <f t="shared" si="78"/>
        <v>147.5</v>
      </c>
      <c r="O674" s="38">
        <f t="shared" ca="1" si="79"/>
        <v>26</v>
      </c>
      <c r="P674" s="36">
        <f t="shared" ca="1" si="77"/>
        <v>5015</v>
      </c>
      <c r="Q674" s="36">
        <f t="shared" ca="1" si="80"/>
        <v>5015</v>
      </c>
      <c r="R674" s="535" t="s">
        <v>30</v>
      </c>
    </row>
    <row r="675" spans="1:18" s="4" customFormat="1" ht="43.5" customHeight="1" x14ac:dyDescent="0.25">
      <c r="B675" s="24">
        <v>45075</v>
      </c>
      <c r="C675" s="24">
        <v>45091</v>
      </c>
      <c r="D675" s="53" t="s">
        <v>4262</v>
      </c>
      <c r="E675" s="26" t="s">
        <v>4310</v>
      </c>
      <c r="F675" s="53" t="s">
        <v>4315</v>
      </c>
      <c r="G675" s="56" t="s">
        <v>28</v>
      </c>
      <c r="H675" s="53" t="s">
        <v>4364</v>
      </c>
      <c r="I675" s="53" t="s">
        <v>19</v>
      </c>
      <c r="J675" s="53">
        <v>12584.7</v>
      </c>
      <c r="K675" s="53">
        <v>54.418599999999998</v>
      </c>
      <c r="L675" s="59">
        <f t="shared" si="76"/>
        <v>231.25732745789125</v>
      </c>
      <c r="M675" s="53">
        <v>60</v>
      </c>
      <c r="N675" s="57">
        <f t="shared" si="78"/>
        <v>209.745</v>
      </c>
      <c r="O675" s="38">
        <f t="shared" ca="1" si="79"/>
        <v>26</v>
      </c>
      <c r="P675" s="36">
        <f t="shared" ca="1" si="77"/>
        <v>7131.3300000000008</v>
      </c>
      <c r="Q675" s="36">
        <f t="shared" ca="1" si="80"/>
        <v>7131.3300000000008</v>
      </c>
      <c r="R675" s="535" t="s">
        <v>30</v>
      </c>
    </row>
    <row r="676" spans="1:18" s="4" customFormat="1" ht="51" customHeight="1" x14ac:dyDescent="0.25">
      <c r="B676" s="24">
        <v>45075</v>
      </c>
      <c r="C676" s="24">
        <v>45091</v>
      </c>
      <c r="D676" s="53" t="s">
        <v>4262</v>
      </c>
      <c r="E676" s="26" t="s">
        <v>4311</v>
      </c>
      <c r="F676" s="53" t="s">
        <v>4315</v>
      </c>
      <c r="G676" s="56" t="s">
        <v>28</v>
      </c>
      <c r="H676" s="53" t="s">
        <v>4365</v>
      </c>
      <c r="I676" s="53" t="s">
        <v>19</v>
      </c>
      <c r="J676" s="53">
        <v>12584.7</v>
      </c>
      <c r="K676" s="53">
        <v>54.418599999999998</v>
      </c>
      <c r="L676" s="59">
        <f t="shared" si="76"/>
        <v>231.25732745789125</v>
      </c>
      <c r="M676" s="53">
        <v>60</v>
      </c>
      <c r="N676" s="57">
        <f t="shared" si="78"/>
        <v>209.745</v>
      </c>
      <c r="O676" s="38">
        <f t="shared" ca="1" si="79"/>
        <v>26</v>
      </c>
      <c r="P676" s="36">
        <f t="shared" ca="1" si="77"/>
        <v>7131.3300000000008</v>
      </c>
      <c r="Q676" s="36">
        <f t="shared" ca="1" si="80"/>
        <v>7131.3300000000008</v>
      </c>
      <c r="R676" s="535" t="s">
        <v>30</v>
      </c>
    </row>
    <row r="677" spans="1:18" s="4" customFormat="1" ht="51" customHeight="1" x14ac:dyDescent="0.25">
      <c r="B677" s="589">
        <v>45131</v>
      </c>
      <c r="C677" s="589">
        <v>44928</v>
      </c>
      <c r="D677" s="53" t="s">
        <v>4541</v>
      </c>
      <c r="E677" s="591" t="s">
        <v>4534</v>
      </c>
      <c r="F677" s="53" t="s">
        <v>4532</v>
      </c>
      <c r="G677" s="56" t="s">
        <v>4536</v>
      </c>
      <c r="H677" s="590" t="s">
        <v>4540</v>
      </c>
      <c r="I677" s="53" t="s">
        <v>19</v>
      </c>
      <c r="J677" s="556">
        <v>14750</v>
      </c>
      <c r="K677" s="53">
        <v>55.754399999999997</v>
      </c>
      <c r="L677" s="607">
        <f t="shared" si="76"/>
        <v>264.55311150330738</v>
      </c>
      <c r="M677" s="590">
        <v>60</v>
      </c>
      <c r="N677" s="592">
        <f t="shared" si="78"/>
        <v>245.83333333333334</v>
      </c>
      <c r="O677" s="593">
        <f ca="1">IF(B677&lt;&gt;0,(ROUND((NOW()-B677)/30,0)),0)</f>
        <v>24</v>
      </c>
      <c r="P677" s="36">
        <f t="shared" ca="1" si="77"/>
        <v>8850</v>
      </c>
      <c r="Q677" s="594">
        <f t="shared" ca="1" si="80"/>
        <v>8850</v>
      </c>
      <c r="R677" s="53" t="s">
        <v>4539</v>
      </c>
    </row>
    <row r="678" spans="1:18" s="4" customFormat="1" ht="51" customHeight="1" x14ac:dyDescent="0.25">
      <c r="B678" s="589">
        <v>45131</v>
      </c>
      <c r="C678" s="589">
        <v>44928</v>
      </c>
      <c r="D678" s="53" t="s">
        <v>4541</v>
      </c>
      <c r="E678" s="591" t="s">
        <v>4535</v>
      </c>
      <c r="F678" s="53" t="s">
        <v>4532</v>
      </c>
      <c r="G678" s="56" t="s">
        <v>4537</v>
      </c>
      <c r="H678" s="590" t="s">
        <v>4538</v>
      </c>
      <c r="I678" s="53" t="s">
        <v>19</v>
      </c>
      <c r="J678" s="556">
        <v>14750</v>
      </c>
      <c r="K678" s="53">
        <v>55.754399999999997</v>
      </c>
      <c r="L678" s="607">
        <f t="shared" si="76"/>
        <v>264.55311150330738</v>
      </c>
      <c r="M678" s="590">
        <v>60</v>
      </c>
      <c r="N678" s="592">
        <f t="shared" si="78"/>
        <v>245.83333333333334</v>
      </c>
      <c r="O678" s="593">
        <f ca="1">IF(B678&lt;&gt;0,(ROUND((NOW()-B678)/30,0)),0)</f>
        <v>24</v>
      </c>
      <c r="P678" s="36">
        <f t="shared" ca="1" si="77"/>
        <v>8850</v>
      </c>
      <c r="Q678" s="594">
        <f t="shared" ca="1" si="80"/>
        <v>8850</v>
      </c>
      <c r="R678" s="53" t="s">
        <v>4539</v>
      </c>
    </row>
    <row r="679" spans="1:18" s="4" customFormat="1" ht="51" customHeight="1" x14ac:dyDescent="0.25">
      <c r="B679" s="589">
        <v>45229</v>
      </c>
      <c r="C679" s="589">
        <v>45259</v>
      </c>
      <c r="D679" s="590" t="s">
        <v>4432</v>
      </c>
      <c r="E679" s="591" t="s">
        <v>4433</v>
      </c>
      <c r="F679" s="556" t="s">
        <v>4434</v>
      </c>
      <c r="G679" s="811" t="s">
        <v>6573</v>
      </c>
      <c r="H679" s="590" t="s">
        <v>4435</v>
      </c>
      <c r="I679" s="590" t="s">
        <v>19</v>
      </c>
      <c r="J679" s="556">
        <v>3596800</v>
      </c>
      <c r="K679" s="53">
        <v>56.5916</v>
      </c>
      <c r="L679" s="557">
        <f t="shared" si="76"/>
        <v>63557.135687981965</v>
      </c>
      <c r="M679" s="590">
        <v>60</v>
      </c>
      <c r="N679" s="592">
        <f t="shared" si="78"/>
        <v>59946.666666666664</v>
      </c>
      <c r="O679" s="593">
        <f t="shared" ca="1" si="79"/>
        <v>21</v>
      </c>
      <c r="P679" s="36">
        <f t="shared" ca="1" si="77"/>
        <v>2337920</v>
      </c>
      <c r="Q679" s="594">
        <f t="shared" ca="1" si="80"/>
        <v>2337920</v>
      </c>
      <c r="R679" s="595" t="s">
        <v>30</v>
      </c>
    </row>
    <row r="680" spans="1:18" s="4" customFormat="1" ht="64.5" customHeight="1" x14ac:dyDescent="0.25">
      <c r="A680" s="603"/>
      <c r="B680" s="24">
        <v>45273</v>
      </c>
      <c r="C680" s="24">
        <v>45280</v>
      </c>
      <c r="D680" s="590" t="s">
        <v>4432</v>
      </c>
      <c r="E680" s="591" t="s">
        <v>4524</v>
      </c>
      <c r="F680" s="53" t="s">
        <v>4529</v>
      </c>
      <c r="G680" s="811" t="s">
        <v>28</v>
      </c>
      <c r="H680" s="53" t="s">
        <v>4353</v>
      </c>
      <c r="I680" s="590" t="s">
        <v>19</v>
      </c>
      <c r="J680" s="53">
        <v>9127</v>
      </c>
      <c r="K680" s="53">
        <v>57.060400000000001</v>
      </c>
      <c r="L680" s="59">
        <f t="shared" si="76"/>
        <v>159.95331263012525</v>
      </c>
      <c r="M680" s="590">
        <v>60</v>
      </c>
      <c r="N680" s="592">
        <f t="shared" si="78"/>
        <v>152.11666666666667</v>
      </c>
      <c r="O680" s="593">
        <f t="shared" ca="1" si="79"/>
        <v>19</v>
      </c>
      <c r="P680" s="36">
        <f t="shared" ca="1" si="77"/>
        <v>6236.7833333333328</v>
      </c>
      <c r="Q680" s="594">
        <f t="shared" ca="1" si="80"/>
        <v>6236.7833333333328</v>
      </c>
      <c r="R680" s="595" t="s">
        <v>30</v>
      </c>
    </row>
    <row r="681" spans="1:18" s="4" customFormat="1" ht="67.5" customHeight="1" x14ac:dyDescent="0.25">
      <c r="A681" s="603"/>
      <c r="B681" s="24">
        <v>45273</v>
      </c>
      <c r="C681" s="24">
        <v>45280</v>
      </c>
      <c r="D681" s="590" t="s">
        <v>4432</v>
      </c>
      <c r="E681" s="591" t="s">
        <v>4525</v>
      </c>
      <c r="F681" s="53" t="s">
        <v>4529</v>
      </c>
      <c r="G681" s="811" t="s">
        <v>28</v>
      </c>
      <c r="H681" s="590" t="s">
        <v>4958</v>
      </c>
      <c r="I681" s="590" t="s">
        <v>19</v>
      </c>
      <c r="J681" s="53">
        <v>9127</v>
      </c>
      <c r="K681" s="53">
        <v>57.060400000000001</v>
      </c>
      <c r="L681" s="59">
        <f t="shared" si="76"/>
        <v>159.95331263012525</v>
      </c>
      <c r="M681" s="590">
        <v>60</v>
      </c>
      <c r="N681" s="592">
        <f t="shared" si="78"/>
        <v>152.11666666666667</v>
      </c>
      <c r="O681" s="593">
        <f t="shared" ca="1" si="79"/>
        <v>19</v>
      </c>
      <c r="P681" s="36">
        <f t="shared" ca="1" si="77"/>
        <v>6236.7833333333328</v>
      </c>
      <c r="Q681" s="594">
        <f t="shared" ca="1" si="80"/>
        <v>6236.7833333333328</v>
      </c>
      <c r="R681" s="595" t="s">
        <v>30</v>
      </c>
    </row>
    <row r="682" spans="1:18" s="4" customFormat="1" ht="57" customHeight="1" x14ac:dyDescent="0.25">
      <c r="A682" s="603"/>
      <c r="B682" s="24">
        <v>45273</v>
      </c>
      <c r="C682" s="24">
        <v>45280</v>
      </c>
      <c r="D682" s="590" t="s">
        <v>4432</v>
      </c>
      <c r="E682" s="591" t="s">
        <v>4526</v>
      </c>
      <c r="F682" s="590" t="s">
        <v>4530</v>
      </c>
      <c r="G682" s="811" t="s">
        <v>28</v>
      </c>
      <c r="H682" s="53" t="s">
        <v>4353</v>
      </c>
      <c r="I682" s="590" t="s">
        <v>19</v>
      </c>
      <c r="J682" s="590">
        <v>8850</v>
      </c>
      <c r="K682" s="53">
        <v>57.060400000000001</v>
      </c>
      <c r="L682" s="59">
        <f t="shared" si="76"/>
        <v>155.09880757933698</v>
      </c>
      <c r="M682" s="590">
        <v>60</v>
      </c>
      <c r="N682" s="592">
        <f t="shared" si="78"/>
        <v>147.5</v>
      </c>
      <c r="O682" s="593">
        <f t="shared" ca="1" si="79"/>
        <v>19</v>
      </c>
      <c r="P682" s="36">
        <f t="shared" ca="1" si="77"/>
        <v>6047.5</v>
      </c>
      <c r="Q682" s="594">
        <f t="shared" ca="1" si="80"/>
        <v>6047.5</v>
      </c>
      <c r="R682" s="595" t="s">
        <v>30</v>
      </c>
    </row>
    <row r="683" spans="1:18" s="4" customFormat="1" ht="51" customHeight="1" x14ac:dyDescent="0.25">
      <c r="B683" s="24">
        <v>45273</v>
      </c>
      <c r="C683" s="24">
        <v>45280</v>
      </c>
      <c r="D683" s="590" t="s">
        <v>4432</v>
      </c>
      <c r="E683" s="591" t="s">
        <v>4527</v>
      </c>
      <c r="F683" s="556" t="s">
        <v>4531</v>
      </c>
      <c r="G683" s="811" t="s">
        <v>28</v>
      </c>
      <c r="H683" s="53" t="s">
        <v>4353</v>
      </c>
      <c r="I683" s="590" t="s">
        <v>19</v>
      </c>
      <c r="J683" s="556">
        <v>9765</v>
      </c>
      <c r="K683" s="53">
        <v>57.060400000000001</v>
      </c>
      <c r="L683" s="59">
        <f t="shared" si="76"/>
        <v>171.13444700703116</v>
      </c>
      <c r="M683" s="590">
        <v>60</v>
      </c>
      <c r="N683" s="592">
        <f t="shared" si="78"/>
        <v>162.75</v>
      </c>
      <c r="O683" s="593">
        <f t="shared" ca="1" si="79"/>
        <v>19</v>
      </c>
      <c r="P683" s="36">
        <f t="shared" ca="1" si="77"/>
        <v>6672.75</v>
      </c>
      <c r="Q683" s="594">
        <f t="shared" ca="1" si="80"/>
        <v>6672.75</v>
      </c>
      <c r="R683" s="595" t="s">
        <v>30</v>
      </c>
    </row>
    <row r="684" spans="1:18" s="4" customFormat="1" ht="51" customHeight="1" x14ac:dyDescent="0.25">
      <c r="B684" s="589">
        <v>45273</v>
      </c>
      <c r="C684" s="24">
        <v>45280</v>
      </c>
      <c r="D684" s="590" t="s">
        <v>4432</v>
      </c>
      <c r="E684" s="591" t="s">
        <v>4528</v>
      </c>
      <c r="F684" s="556" t="s">
        <v>4531</v>
      </c>
      <c r="G684" s="811" t="s">
        <v>28</v>
      </c>
      <c r="H684" s="672" t="s">
        <v>4960</v>
      </c>
      <c r="I684" s="590" t="s">
        <v>19</v>
      </c>
      <c r="J684" s="556">
        <v>9765</v>
      </c>
      <c r="K684" s="590">
        <v>57.060400000000001</v>
      </c>
      <c r="L684" s="604">
        <f t="shared" si="76"/>
        <v>171.13444700703116</v>
      </c>
      <c r="M684" s="590">
        <v>60</v>
      </c>
      <c r="N684" s="592">
        <f t="shared" si="78"/>
        <v>162.75</v>
      </c>
      <c r="O684" s="593">
        <f t="shared" ca="1" si="79"/>
        <v>19</v>
      </c>
      <c r="P684" s="36">
        <f t="shared" ca="1" si="77"/>
        <v>6672.75</v>
      </c>
      <c r="Q684" s="594">
        <f t="shared" ca="1" si="80"/>
        <v>6672.75</v>
      </c>
      <c r="R684" s="595" t="s">
        <v>30</v>
      </c>
    </row>
    <row r="685" spans="1:18" s="4" customFormat="1" ht="51" customHeight="1" x14ac:dyDescent="0.25">
      <c r="B685" s="24">
        <v>45281</v>
      </c>
      <c r="C685" s="24">
        <v>45289</v>
      </c>
      <c r="D685" s="53" t="s">
        <v>4895</v>
      </c>
      <c r="E685" s="591" t="s">
        <v>4310</v>
      </c>
      <c r="F685" s="53" t="s">
        <v>4532</v>
      </c>
      <c r="G685" s="56" t="s">
        <v>4533</v>
      </c>
      <c r="H685" s="53" t="s">
        <v>4354</v>
      </c>
      <c r="I685" s="53" t="s">
        <v>19</v>
      </c>
      <c r="J685" s="53">
        <v>15930</v>
      </c>
      <c r="K685" s="53">
        <v>57.567399999999999</v>
      </c>
      <c r="L685" s="59">
        <f t="shared" si="76"/>
        <v>276.71911533263619</v>
      </c>
      <c r="M685" s="53">
        <v>60</v>
      </c>
      <c r="N685" s="57">
        <f t="shared" si="78"/>
        <v>265.5</v>
      </c>
      <c r="O685" s="38">
        <f t="shared" ca="1" si="79"/>
        <v>19</v>
      </c>
      <c r="P685" s="36">
        <f t="shared" ca="1" si="77"/>
        <v>10885.5</v>
      </c>
      <c r="Q685" s="36">
        <f t="shared" ca="1" si="80"/>
        <v>10885.5</v>
      </c>
      <c r="R685" s="53" t="s">
        <v>4539</v>
      </c>
    </row>
    <row r="686" spans="1:18" s="4" customFormat="1" ht="51" customHeight="1" x14ac:dyDescent="0.25">
      <c r="B686" s="24">
        <v>45294</v>
      </c>
      <c r="C686" s="24">
        <v>45418</v>
      </c>
      <c r="D686" s="53" t="s">
        <v>6010</v>
      </c>
      <c r="E686" s="26" t="s">
        <v>4911</v>
      </c>
      <c r="F686" s="26" t="s">
        <v>4910</v>
      </c>
      <c r="G686" s="56" t="s">
        <v>28</v>
      </c>
      <c r="H686" s="53" t="s">
        <v>4921</v>
      </c>
      <c r="I686" s="53" t="s">
        <v>19</v>
      </c>
      <c r="J686" s="791">
        <v>22302</v>
      </c>
      <c r="K686" s="53">
        <v>58.481400000000001</v>
      </c>
      <c r="L686" s="59">
        <f t="shared" si="76"/>
        <v>381.35201961649346</v>
      </c>
      <c r="M686" s="53">
        <v>60</v>
      </c>
      <c r="N686" s="57">
        <f t="shared" si="78"/>
        <v>371.7</v>
      </c>
      <c r="O686" s="38">
        <f t="shared" ca="1" si="79"/>
        <v>18</v>
      </c>
      <c r="P686" s="36">
        <f t="shared" ca="1" si="77"/>
        <v>15611.400000000001</v>
      </c>
      <c r="Q686" s="36">
        <f t="shared" ca="1" si="80"/>
        <v>15611.400000000001</v>
      </c>
      <c r="R686" s="53" t="s">
        <v>30</v>
      </c>
    </row>
    <row r="687" spans="1:18" s="4" customFormat="1" ht="51" customHeight="1" x14ac:dyDescent="0.25">
      <c r="B687" s="24">
        <v>45294</v>
      </c>
      <c r="C687" s="24">
        <v>45418</v>
      </c>
      <c r="D687" s="53" t="s">
        <v>6010</v>
      </c>
      <c r="E687" s="26" t="s">
        <v>4912</v>
      </c>
      <c r="F687" s="26" t="s">
        <v>4910</v>
      </c>
      <c r="G687" s="56" t="s">
        <v>28</v>
      </c>
      <c r="H687" s="53" t="s">
        <v>4921</v>
      </c>
      <c r="I687" s="53" t="s">
        <v>19</v>
      </c>
      <c r="J687" s="791">
        <v>22302</v>
      </c>
      <c r="K687" s="53">
        <v>58.481400000000001</v>
      </c>
      <c r="L687" s="59">
        <f t="shared" si="76"/>
        <v>381.35201961649346</v>
      </c>
      <c r="M687" s="53">
        <v>60</v>
      </c>
      <c r="N687" s="57">
        <f t="shared" si="78"/>
        <v>371.7</v>
      </c>
      <c r="O687" s="38">
        <f t="shared" ca="1" si="79"/>
        <v>18</v>
      </c>
      <c r="P687" s="36">
        <f t="shared" ca="1" si="77"/>
        <v>15611.400000000001</v>
      </c>
      <c r="Q687" s="36">
        <f t="shared" ca="1" si="80"/>
        <v>15611.400000000001</v>
      </c>
      <c r="R687" s="53" t="s">
        <v>30</v>
      </c>
    </row>
    <row r="688" spans="1:18" s="4" customFormat="1" ht="60.75" customHeight="1" x14ac:dyDescent="0.25">
      <c r="B688" s="24">
        <v>45294</v>
      </c>
      <c r="C688" s="24">
        <v>45418</v>
      </c>
      <c r="D688" s="53" t="s">
        <v>6010</v>
      </c>
      <c r="E688" s="26" t="s">
        <v>4913</v>
      </c>
      <c r="F688" s="53" t="s">
        <v>4920</v>
      </c>
      <c r="G688" s="56" t="s">
        <v>28</v>
      </c>
      <c r="H688" s="53" t="s">
        <v>4922</v>
      </c>
      <c r="I688" s="53" t="s">
        <v>19</v>
      </c>
      <c r="J688" s="791">
        <v>6520.09</v>
      </c>
      <c r="K688" s="53">
        <v>58.481400000000001</v>
      </c>
      <c r="L688" s="59">
        <f t="shared" si="76"/>
        <v>111.48997801010236</v>
      </c>
      <c r="M688" s="53">
        <v>60</v>
      </c>
      <c r="N688" s="57">
        <f t="shared" si="78"/>
        <v>108.66816666666666</v>
      </c>
      <c r="O688" s="38">
        <f t="shared" ca="1" si="79"/>
        <v>18</v>
      </c>
      <c r="P688" s="36">
        <f t="shared" ca="1" si="77"/>
        <v>4564.0630000000001</v>
      </c>
      <c r="Q688" s="36">
        <f t="shared" ca="1" si="80"/>
        <v>4564.0630000000001</v>
      </c>
      <c r="R688" s="53" t="s">
        <v>30</v>
      </c>
    </row>
    <row r="689" spans="2:18" s="4" customFormat="1" ht="51" customHeight="1" x14ac:dyDescent="0.25">
      <c r="B689" s="24">
        <v>45294</v>
      </c>
      <c r="C689" s="24">
        <v>45418</v>
      </c>
      <c r="D689" s="53" t="s">
        <v>6010</v>
      </c>
      <c r="E689" s="26" t="s">
        <v>4914</v>
      </c>
      <c r="F689" s="53" t="s">
        <v>4920</v>
      </c>
      <c r="G689" s="56" t="s">
        <v>28</v>
      </c>
      <c r="H689" s="53" t="s">
        <v>4923</v>
      </c>
      <c r="I689" s="53" t="s">
        <v>19</v>
      </c>
      <c r="J689" s="791">
        <v>6520.09</v>
      </c>
      <c r="K689" s="53">
        <v>58.481400000000001</v>
      </c>
      <c r="L689" s="59">
        <f t="shared" si="76"/>
        <v>111.48997801010236</v>
      </c>
      <c r="M689" s="53">
        <v>60</v>
      </c>
      <c r="N689" s="57">
        <f t="shared" si="78"/>
        <v>108.66816666666666</v>
      </c>
      <c r="O689" s="38">
        <f t="shared" ca="1" si="79"/>
        <v>18</v>
      </c>
      <c r="P689" s="36">
        <f t="shared" ca="1" si="77"/>
        <v>4564.0630000000001</v>
      </c>
      <c r="Q689" s="36">
        <f t="shared" ca="1" si="80"/>
        <v>4564.0630000000001</v>
      </c>
      <c r="R689" s="53" t="s">
        <v>30</v>
      </c>
    </row>
    <row r="690" spans="2:18" s="4" customFormat="1" ht="51" customHeight="1" x14ac:dyDescent="0.25">
      <c r="B690" s="24">
        <v>45294</v>
      </c>
      <c r="C690" s="24">
        <v>45418</v>
      </c>
      <c r="D690" s="53" t="s">
        <v>6010</v>
      </c>
      <c r="E690" s="26" t="s">
        <v>4915</v>
      </c>
      <c r="F690" s="53" t="s">
        <v>4920</v>
      </c>
      <c r="G690" s="56" t="s">
        <v>28</v>
      </c>
      <c r="H690" s="53" t="s">
        <v>4924</v>
      </c>
      <c r="I690" s="53" t="s">
        <v>19</v>
      </c>
      <c r="J690" s="791">
        <v>6520.09</v>
      </c>
      <c r="K690" s="53">
        <v>58.481400000000001</v>
      </c>
      <c r="L690" s="59">
        <f t="shared" si="76"/>
        <v>111.48997801010236</v>
      </c>
      <c r="M690" s="53">
        <v>60</v>
      </c>
      <c r="N690" s="57">
        <f t="shared" si="78"/>
        <v>108.66816666666666</v>
      </c>
      <c r="O690" s="38">
        <f t="shared" ca="1" si="79"/>
        <v>18</v>
      </c>
      <c r="P690" s="36">
        <f t="shared" ca="1" si="77"/>
        <v>4564.0630000000001</v>
      </c>
      <c r="Q690" s="36">
        <f t="shared" ca="1" si="80"/>
        <v>4564.0630000000001</v>
      </c>
      <c r="R690" s="53" t="s">
        <v>30</v>
      </c>
    </row>
    <row r="691" spans="2:18" s="4" customFormat="1" ht="51" customHeight="1" x14ac:dyDescent="0.25">
      <c r="B691" s="24">
        <v>45294</v>
      </c>
      <c r="C691" s="24">
        <v>45418</v>
      </c>
      <c r="D691" s="53" t="s">
        <v>6010</v>
      </c>
      <c r="E691" s="26" t="s">
        <v>4916</v>
      </c>
      <c r="F691" s="53" t="s">
        <v>4920</v>
      </c>
      <c r="G691" s="56" t="s">
        <v>28</v>
      </c>
      <c r="H691" s="53" t="s">
        <v>4925</v>
      </c>
      <c r="I691" s="53" t="s">
        <v>19</v>
      </c>
      <c r="J691" s="791">
        <v>6520.09</v>
      </c>
      <c r="K691" s="53">
        <v>58.481400000000001</v>
      </c>
      <c r="L691" s="59">
        <f t="shared" si="76"/>
        <v>111.48997801010236</v>
      </c>
      <c r="M691" s="53">
        <v>60</v>
      </c>
      <c r="N691" s="57">
        <f t="shared" si="78"/>
        <v>108.66816666666666</v>
      </c>
      <c r="O691" s="38">
        <f t="shared" ca="1" si="79"/>
        <v>18</v>
      </c>
      <c r="P691" s="36">
        <f t="shared" ca="1" si="77"/>
        <v>4564.0630000000001</v>
      </c>
      <c r="Q691" s="36">
        <f t="shared" ca="1" si="80"/>
        <v>4564.0630000000001</v>
      </c>
      <c r="R691" s="53" t="s">
        <v>30</v>
      </c>
    </row>
    <row r="692" spans="2:18" s="4" customFormat="1" ht="51" customHeight="1" x14ac:dyDescent="0.25">
      <c r="B692" s="24">
        <v>45294</v>
      </c>
      <c r="C692" s="24">
        <v>45418</v>
      </c>
      <c r="D692" s="53" t="s">
        <v>6010</v>
      </c>
      <c r="E692" s="26" t="s">
        <v>4917</v>
      </c>
      <c r="F692" s="53" t="s">
        <v>4920</v>
      </c>
      <c r="G692" s="56" t="s">
        <v>28</v>
      </c>
      <c r="H692" s="53" t="s">
        <v>4926</v>
      </c>
      <c r="I692" s="53" t="s">
        <v>19</v>
      </c>
      <c r="J692" s="791">
        <v>6520.09</v>
      </c>
      <c r="K692" s="53">
        <v>58.481400000000001</v>
      </c>
      <c r="L692" s="59">
        <f>J692/K692</f>
        <v>111.48997801010236</v>
      </c>
      <c r="M692" s="53">
        <v>60</v>
      </c>
      <c r="N692" s="57">
        <f t="shared" si="78"/>
        <v>108.66816666666666</v>
      </c>
      <c r="O692" s="38">
        <f t="shared" ca="1" si="79"/>
        <v>18</v>
      </c>
      <c r="P692" s="36">
        <f t="shared" ca="1" si="77"/>
        <v>4564.0630000000001</v>
      </c>
      <c r="Q692" s="36">
        <f t="shared" ca="1" si="80"/>
        <v>4564.0630000000001</v>
      </c>
      <c r="R692" s="53" t="s">
        <v>30</v>
      </c>
    </row>
    <row r="693" spans="2:18" s="4" customFormat="1" ht="51" customHeight="1" x14ac:dyDescent="0.25">
      <c r="B693" s="24">
        <v>45294</v>
      </c>
      <c r="C693" s="24">
        <v>45418</v>
      </c>
      <c r="D693" s="53" t="s">
        <v>6010</v>
      </c>
      <c r="E693" s="26" t="s">
        <v>4918</v>
      </c>
      <c r="F693" s="53" t="s">
        <v>4920</v>
      </c>
      <c r="G693" s="56" t="s">
        <v>28</v>
      </c>
      <c r="H693" s="53" t="s">
        <v>4961</v>
      </c>
      <c r="I693" s="53" t="s">
        <v>19</v>
      </c>
      <c r="J693" s="791">
        <v>6520.09</v>
      </c>
      <c r="K693" s="53">
        <v>58.481400000000001</v>
      </c>
      <c r="L693" s="59">
        <f>J693/K693</f>
        <v>111.48997801010236</v>
      </c>
      <c r="M693" s="53">
        <v>60</v>
      </c>
      <c r="N693" s="57">
        <f t="shared" si="78"/>
        <v>108.66816666666666</v>
      </c>
      <c r="O693" s="38">
        <f t="shared" ca="1" si="79"/>
        <v>18</v>
      </c>
      <c r="P693" s="36">
        <f t="shared" ca="1" si="77"/>
        <v>4564.0630000000001</v>
      </c>
      <c r="Q693" s="36">
        <f t="shared" ca="1" si="80"/>
        <v>4564.0630000000001</v>
      </c>
      <c r="R693" s="53" t="s">
        <v>30</v>
      </c>
    </row>
    <row r="694" spans="2:18" s="4" customFormat="1" ht="51" customHeight="1" x14ac:dyDescent="0.25">
      <c r="B694" s="24">
        <v>45294</v>
      </c>
      <c r="C694" s="24">
        <v>45418</v>
      </c>
      <c r="D694" s="53" t="s">
        <v>6010</v>
      </c>
      <c r="E694" s="26" t="s">
        <v>4919</v>
      </c>
      <c r="F694" s="53" t="s">
        <v>4920</v>
      </c>
      <c r="G694" s="56" t="s">
        <v>28</v>
      </c>
      <c r="H694" s="53" t="s">
        <v>5778</v>
      </c>
      <c r="I694" s="53" t="s">
        <v>19</v>
      </c>
      <c r="J694" s="791">
        <v>6520.09</v>
      </c>
      <c r="K694" s="53">
        <v>58.481400000000001</v>
      </c>
      <c r="L694" s="59">
        <f>J694/K694</f>
        <v>111.48997801010236</v>
      </c>
      <c r="M694" s="53">
        <v>60</v>
      </c>
      <c r="N694" s="57">
        <f t="shared" si="78"/>
        <v>108.66816666666666</v>
      </c>
      <c r="O694" s="38">
        <f t="shared" ca="1" si="79"/>
        <v>18</v>
      </c>
      <c r="P694" s="36">
        <f t="shared" ca="1" si="77"/>
        <v>4564.0630000000001</v>
      </c>
      <c r="Q694" s="36">
        <f t="shared" ca="1" si="80"/>
        <v>4564.0630000000001</v>
      </c>
      <c r="R694" s="53" t="s">
        <v>30</v>
      </c>
    </row>
    <row r="695" spans="2:18" s="4" customFormat="1" ht="51" customHeight="1" x14ac:dyDescent="0.25">
      <c r="B695" s="24">
        <v>45322</v>
      </c>
      <c r="C695" s="24">
        <v>45474</v>
      </c>
      <c r="D695" s="53" t="s">
        <v>5746</v>
      </c>
      <c r="E695" s="26" t="s">
        <v>5747</v>
      </c>
      <c r="F695" s="53" t="s">
        <v>5779</v>
      </c>
      <c r="G695" s="56" t="s">
        <v>28</v>
      </c>
      <c r="H695" s="53" t="s">
        <v>2411</v>
      </c>
      <c r="I695" s="53" t="s">
        <v>19</v>
      </c>
      <c r="J695" s="791">
        <v>70573.08</v>
      </c>
      <c r="K695" s="53">
        <v>56.6248</v>
      </c>
      <c r="L695" s="59">
        <f>J695/K695</f>
        <v>1246.3281106511636</v>
      </c>
      <c r="M695" s="53">
        <v>60</v>
      </c>
      <c r="N695" s="57">
        <f t="shared" si="78"/>
        <v>1176.2180000000001</v>
      </c>
      <c r="O695" s="38">
        <f t="shared" ca="1" si="79"/>
        <v>18</v>
      </c>
      <c r="P695" s="36">
        <f t="shared" ca="1" si="77"/>
        <v>49401.156000000003</v>
      </c>
      <c r="Q695" s="36">
        <f t="shared" ca="1" si="80"/>
        <v>49401.156000000003</v>
      </c>
      <c r="R695" s="53" t="s">
        <v>5781</v>
      </c>
    </row>
    <row r="696" spans="2:18" s="4" customFormat="1" ht="51" customHeight="1" x14ac:dyDescent="0.25">
      <c r="B696" s="24">
        <v>45322</v>
      </c>
      <c r="C696" s="24">
        <v>45474</v>
      </c>
      <c r="D696" s="53" t="s">
        <v>5746</v>
      </c>
      <c r="E696" s="26" t="s">
        <v>5748</v>
      </c>
      <c r="F696" s="53" t="s">
        <v>5779</v>
      </c>
      <c r="G696" s="56" t="s">
        <v>28</v>
      </c>
      <c r="H696" s="53" t="s">
        <v>2411</v>
      </c>
      <c r="I696" s="53" t="s">
        <v>19</v>
      </c>
      <c r="J696" s="791">
        <v>70573.08</v>
      </c>
      <c r="K696" s="53">
        <v>56.6248</v>
      </c>
      <c r="L696" s="59">
        <f t="shared" ref="L696:L759" si="81">J696/K696</f>
        <v>1246.3281106511636</v>
      </c>
      <c r="M696" s="53">
        <v>60</v>
      </c>
      <c r="N696" s="57">
        <f t="shared" si="78"/>
        <v>1176.2180000000001</v>
      </c>
      <c r="O696" s="38">
        <f t="shared" ca="1" si="79"/>
        <v>18</v>
      </c>
      <c r="P696" s="36">
        <f t="shared" ca="1" si="77"/>
        <v>49401.156000000003</v>
      </c>
      <c r="Q696" s="36">
        <f t="shared" ca="1" si="80"/>
        <v>49401.156000000003</v>
      </c>
      <c r="R696" s="53" t="s">
        <v>5781</v>
      </c>
    </row>
    <row r="697" spans="2:18" s="4" customFormat="1" ht="51" customHeight="1" x14ac:dyDescent="0.25">
      <c r="B697" s="24">
        <v>45322</v>
      </c>
      <c r="C697" s="24">
        <v>45474</v>
      </c>
      <c r="D697" s="53" t="s">
        <v>5746</v>
      </c>
      <c r="E697" s="26" t="s">
        <v>5749</v>
      </c>
      <c r="F697" s="53" t="s">
        <v>5779</v>
      </c>
      <c r="G697" s="56" t="s">
        <v>28</v>
      </c>
      <c r="H697" s="53" t="s">
        <v>2411</v>
      </c>
      <c r="I697" s="53" t="s">
        <v>19</v>
      </c>
      <c r="J697" s="791">
        <v>70573.08</v>
      </c>
      <c r="K697" s="53">
        <v>56.6248</v>
      </c>
      <c r="L697" s="59">
        <f t="shared" si="81"/>
        <v>1246.3281106511636</v>
      </c>
      <c r="M697" s="53">
        <v>60</v>
      </c>
      <c r="N697" s="57">
        <f t="shared" si="78"/>
        <v>1176.2180000000001</v>
      </c>
      <c r="O697" s="38">
        <f t="shared" ca="1" si="79"/>
        <v>18</v>
      </c>
      <c r="P697" s="36">
        <f t="shared" ca="1" si="77"/>
        <v>49401.156000000003</v>
      </c>
      <c r="Q697" s="36">
        <f t="shared" ca="1" si="80"/>
        <v>49401.156000000003</v>
      </c>
      <c r="R697" s="53" t="s">
        <v>5781</v>
      </c>
    </row>
    <row r="698" spans="2:18" s="4" customFormat="1" ht="51" customHeight="1" x14ac:dyDescent="0.25">
      <c r="B698" s="24">
        <v>45322</v>
      </c>
      <c r="C698" s="24">
        <v>45474</v>
      </c>
      <c r="D698" s="53" t="s">
        <v>5746</v>
      </c>
      <c r="E698" s="26" t="s">
        <v>5750</v>
      </c>
      <c r="F698" s="53" t="s">
        <v>5779</v>
      </c>
      <c r="G698" s="56" t="s">
        <v>28</v>
      </c>
      <c r="H698" s="53" t="s">
        <v>2411</v>
      </c>
      <c r="I698" s="53" t="s">
        <v>19</v>
      </c>
      <c r="J698" s="791">
        <v>70573.08</v>
      </c>
      <c r="K698" s="53">
        <v>56.6248</v>
      </c>
      <c r="L698" s="59">
        <f t="shared" si="81"/>
        <v>1246.3281106511636</v>
      </c>
      <c r="M698" s="53">
        <v>60</v>
      </c>
      <c r="N698" s="57">
        <f t="shared" si="78"/>
        <v>1176.2180000000001</v>
      </c>
      <c r="O698" s="38">
        <f t="shared" ca="1" si="79"/>
        <v>18</v>
      </c>
      <c r="P698" s="36">
        <f t="shared" ca="1" si="77"/>
        <v>49401.156000000003</v>
      </c>
      <c r="Q698" s="36">
        <f t="shared" ca="1" si="80"/>
        <v>49401.156000000003</v>
      </c>
      <c r="R698" s="53" t="s">
        <v>5781</v>
      </c>
    </row>
    <row r="699" spans="2:18" s="4" customFormat="1" ht="51" customHeight="1" x14ac:dyDescent="0.25">
      <c r="B699" s="24">
        <v>45322</v>
      </c>
      <c r="C699" s="24">
        <v>45474</v>
      </c>
      <c r="D699" s="53" t="s">
        <v>5746</v>
      </c>
      <c r="E699" s="26" t="s">
        <v>5751</v>
      </c>
      <c r="F699" s="53" t="s">
        <v>5759</v>
      </c>
      <c r="G699" s="56" t="s">
        <v>5760</v>
      </c>
      <c r="H699" s="53" t="s">
        <v>5769</v>
      </c>
      <c r="I699" s="53" t="s">
        <v>19</v>
      </c>
      <c r="J699" s="791">
        <v>135957.91</v>
      </c>
      <c r="K699" s="53">
        <v>56.6248</v>
      </c>
      <c r="L699" s="59">
        <f t="shared" si="81"/>
        <v>2401.0311736200392</v>
      </c>
      <c r="M699" s="53">
        <v>60</v>
      </c>
      <c r="N699" s="57">
        <f t="shared" si="78"/>
        <v>2265.9651666666668</v>
      </c>
      <c r="O699" s="38">
        <f t="shared" ca="1" si="79"/>
        <v>18</v>
      </c>
      <c r="P699" s="36">
        <f t="shared" ca="1" si="77"/>
        <v>95170.536999999997</v>
      </c>
      <c r="Q699" s="36">
        <f t="shared" ca="1" si="80"/>
        <v>95170.536999999997</v>
      </c>
      <c r="R699" s="53" t="s">
        <v>5781</v>
      </c>
    </row>
    <row r="700" spans="2:18" s="4" customFormat="1" ht="51" customHeight="1" x14ac:dyDescent="0.25">
      <c r="B700" s="24">
        <v>45322</v>
      </c>
      <c r="C700" s="24">
        <v>45474</v>
      </c>
      <c r="D700" s="53" t="s">
        <v>5746</v>
      </c>
      <c r="E700" s="26" t="s">
        <v>5752</v>
      </c>
      <c r="F700" s="53" t="s">
        <v>5759</v>
      </c>
      <c r="G700" s="56" t="s">
        <v>5761</v>
      </c>
      <c r="H700" s="53" t="s">
        <v>5770</v>
      </c>
      <c r="I700" s="53" t="s">
        <v>19</v>
      </c>
      <c r="J700" s="791">
        <v>135957.91</v>
      </c>
      <c r="K700" s="53">
        <v>56.6248</v>
      </c>
      <c r="L700" s="59">
        <f t="shared" si="81"/>
        <v>2401.0311736200392</v>
      </c>
      <c r="M700" s="53">
        <v>60</v>
      </c>
      <c r="N700" s="57">
        <f t="shared" si="78"/>
        <v>2265.9651666666668</v>
      </c>
      <c r="O700" s="38">
        <f t="shared" ca="1" si="79"/>
        <v>18</v>
      </c>
      <c r="P700" s="36">
        <f t="shared" ca="1" si="77"/>
        <v>95170.536999999997</v>
      </c>
      <c r="Q700" s="36">
        <f t="shared" ca="1" si="80"/>
        <v>95170.536999999997</v>
      </c>
      <c r="R700" s="53" t="s">
        <v>5781</v>
      </c>
    </row>
    <row r="701" spans="2:18" s="4" customFormat="1" ht="51" customHeight="1" x14ac:dyDescent="0.25">
      <c r="B701" s="24">
        <v>45322</v>
      </c>
      <c r="C701" s="24">
        <v>45474</v>
      </c>
      <c r="D701" s="53" t="s">
        <v>5746</v>
      </c>
      <c r="E701" s="26" t="s">
        <v>5753</v>
      </c>
      <c r="F701" s="53" t="s">
        <v>5759</v>
      </c>
      <c r="G701" s="56" t="s">
        <v>5762</v>
      </c>
      <c r="H701" s="53" t="s">
        <v>5771</v>
      </c>
      <c r="I701" s="53" t="s">
        <v>19</v>
      </c>
      <c r="J701" s="791">
        <v>135957.91</v>
      </c>
      <c r="K701" s="53">
        <v>56.6248</v>
      </c>
      <c r="L701" s="59">
        <f t="shared" si="81"/>
        <v>2401.0311736200392</v>
      </c>
      <c r="M701" s="53">
        <v>60</v>
      </c>
      <c r="N701" s="57">
        <f t="shared" si="78"/>
        <v>2265.9651666666668</v>
      </c>
      <c r="O701" s="38">
        <f t="shared" ca="1" si="79"/>
        <v>18</v>
      </c>
      <c r="P701" s="36">
        <f t="shared" ca="1" si="77"/>
        <v>95170.536999999997</v>
      </c>
      <c r="Q701" s="36">
        <f t="shared" ca="1" si="80"/>
        <v>95170.536999999997</v>
      </c>
      <c r="R701" s="53" t="s">
        <v>5781</v>
      </c>
    </row>
    <row r="702" spans="2:18" s="4" customFormat="1" ht="51" customHeight="1" x14ac:dyDescent="0.25">
      <c r="B702" s="24">
        <v>45322</v>
      </c>
      <c r="C702" s="24">
        <v>45474</v>
      </c>
      <c r="D702" s="53" t="s">
        <v>5746</v>
      </c>
      <c r="E702" s="26" t="s">
        <v>5754</v>
      </c>
      <c r="F702" s="53" t="s">
        <v>5759</v>
      </c>
      <c r="G702" s="56" t="s">
        <v>5763</v>
      </c>
      <c r="H702" s="53" t="s">
        <v>5772</v>
      </c>
      <c r="I702" s="53" t="s">
        <v>19</v>
      </c>
      <c r="J702" s="791">
        <v>135957.91</v>
      </c>
      <c r="K702" s="53">
        <v>56.6248</v>
      </c>
      <c r="L702" s="59">
        <f t="shared" si="81"/>
        <v>2401.0311736200392</v>
      </c>
      <c r="M702" s="53">
        <v>60</v>
      </c>
      <c r="N702" s="57">
        <f t="shared" si="78"/>
        <v>2265.9651666666668</v>
      </c>
      <c r="O702" s="38">
        <f t="shared" ca="1" si="79"/>
        <v>18</v>
      </c>
      <c r="P702" s="36">
        <f t="shared" ca="1" si="77"/>
        <v>95170.536999999997</v>
      </c>
      <c r="Q702" s="36">
        <f t="shared" ca="1" si="80"/>
        <v>95170.536999999997</v>
      </c>
      <c r="R702" s="53" t="s">
        <v>5781</v>
      </c>
    </row>
    <row r="703" spans="2:18" s="4" customFormat="1" ht="51" customHeight="1" x14ac:dyDescent="0.25">
      <c r="B703" s="24">
        <v>45322</v>
      </c>
      <c r="C703" s="24">
        <v>45474</v>
      </c>
      <c r="D703" s="53" t="s">
        <v>5746</v>
      </c>
      <c r="E703" s="26" t="s">
        <v>5755</v>
      </c>
      <c r="F703" s="53" t="s">
        <v>5759</v>
      </c>
      <c r="G703" s="56" t="s">
        <v>5764</v>
      </c>
      <c r="H703" s="53" t="s">
        <v>5773</v>
      </c>
      <c r="I703" s="53" t="s">
        <v>19</v>
      </c>
      <c r="J703" s="791">
        <v>135957.91</v>
      </c>
      <c r="K703" s="53">
        <v>56.6248</v>
      </c>
      <c r="L703" s="59">
        <f t="shared" si="81"/>
        <v>2401.0311736200392</v>
      </c>
      <c r="M703" s="53">
        <v>60</v>
      </c>
      <c r="N703" s="57">
        <f t="shared" si="78"/>
        <v>2265.9651666666668</v>
      </c>
      <c r="O703" s="38">
        <f t="shared" ca="1" si="79"/>
        <v>18</v>
      </c>
      <c r="P703" s="36">
        <f t="shared" ca="1" si="77"/>
        <v>95170.536999999997</v>
      </c>
      <c r="Q703" s="36">
        <f t="shared" ca="1" si="80"/>
        <v>95170.536999999997</v>
      </c>
      <c r="R703" s="53" t="s">
        <v>5781</v>
      </c>
    </row>
    <row r="704" spans="2:18" s="4" customFormat="1" ht="51" customHeight="1" x14ac:dyDescent="0.25">
      <c r="B704" s="24">
        <v>45322</v>
      </c>
      <c r="C704" s="24">
        <v>45474</v>
      </c>
      <c r="D704" s="53" t="s">
        <v>5746</v>
      </c>
      <c r="E704" s="26" t="s">
        <v>5756</v>
      </c>
      <c r="F704" s="53" t="s">
        <v>5759</v>
      </c>
      <c r="G704" s="56" t="s">
        <v>5765</v>
      </c>
      <c r="H704" s="53" t="s">
        <v>5774</v>
      </c>
      <c r="I704" s="53" t="s">
        <v>19</v>
      </c>
      <c r="J704" s="791">
        <v>135957.91</v>
      </c>
      <c r="K704" s="53">
        <v>56.6248</v>
      </c>
      <c r="L704" s="59">
        <f t="shared" si="81"/>
        <v>2401.0311736200392</v>
      </c>
      <c r="M704" s="53">
        <v>60</v>
      </c>
      <c r="N704" s="57">
        <f t="shared" si="78"/>
        <v>2265.9651666666668</v>
      </c>
      <c r="O704" s="38">
        <f t="shared" ca="1" si="79"/>
        <v>18</v>
      </c>
      <c r="P704" s="36">
        <f t="shared" ca="1" si="77"/>
        <v>95170.536999999997</v>
      </c>
      <c r="Q704" s="36">
        <f t="shared" ca="1" si="80"/>
        <v>95170.536999999997</v>
      </c>
      <c r="R704" s="53" t="s">
        <v>5781</v>
      </c>
    </row>
    <row r="705" spans="2:18" s="4" customFormat="1" ht="51" customHeight="1" x14ac:dyDescent="0.25">
      <c r="B705" s="24">
        <v>45322</v>
      </c>
      <c r="C705" s="24">
        <v>45474</v>
      </c>
      <c r="D705" s="53" t="s">
        <v>5746</v>
      </c>
      <c r="E705" s="26" t="s">
        <v>5757</v>
      </c>
      <c r="F705" s="53" t="s">
        <v>5759</v>
      </c>
      <c r="G705" s="56" t="s">
        <v>5766</v>
      </c>
      <c r="H705" s="53" t="s">
        <v>5775</v>
      </c>
      <c r="I705" s="53" t="s">
        <v>19</v>
      </c>
      <c r="J705" s="791">
        <v>135957.91</v>
      </c>
      <c r="K705" s="53">
        <v>56.6248</v>
      </c>
      <c r="L705" s="59">
        <f t="shared" si="81"/>
        <v>2401.0311736200392</v>
      </c>
      <c r="M705" s="53">
        <v>60</v>
      </c>
      <c r="N705" s="57">
        <f t="shared" si="78"/>
        <v>2265.9651666666668</v>
      </c>
      <c r="O705" s="38">
        <f t="shared" ca="1" si="79"/>
        <v>18</v>
      </c>
      <c r="P705" s="36">
        <f t="shared" ca="1" si="77"/>
        <v>95170.536999999997</v>
      </c>
      <c r="Q705" s="36">
        <f t="shared" ca="1" si="80"/>
        <v>95170.536999999997</v>
      </c>
      <c r="R705" s="53" t="s">
        <v>5781</v>
      </c>
    </row>
    <row r="706" spans="2:18" s="4" customFormat="1" ht="51" customHeight="1" x14ac:dyDescent="0.25">
      <c r="B706" s="24">
        <v>45322</v>
      </c>
      <c r="C706" s="24">
        <v>45474</v>
      </c>
      <c r="D706" s="53" t="s">
        <v>5746</v>
      </c>
      <c r="E706" s="26" t="s">
        <v>5758</v>
      </c>
      <c r="F706" s="53" t="s">
        <v>5759</v>
      </c>
      <c r="G706" s="56" t="s">
        <v>5767</v>
      </c>
      <c r="H706" s="53" t="s">
        <v>5776</v>
      </c>
      <c r="I706" s="53" t="s">
        <v>19</v>
      </c>
      <c r="J706" s="791">
        <v>135957.91</v>
      </c>
      <c r="K706" s="53">
        <v>56.6248</v>
      </c>
      <c r="L706" s="59">
        <f t="shared" si="81"/>
        <v>2401.0311736200392</v>
      </c>
      <c r="M706" s="53">
        <v>60</v>
      </c>
      <c r="N706" s="57">
        <f t="shared" si="78"/>
        <v>2265.9651666666668</v>
      </c>
      <c r="O706" s="38">
        <f t="shared" ca="1" si="79"/>
        <v>18</v>
      </c>
      <c r="P706" s="36">
        <f t="shared" ca="1" si="77"/>
        <v>95170.536999999997</v>
      </c>
      <c r="Q706" s="36">
        <f t="shared" ca="1" si="80"/>
        <v>95170.536999999997</v>
      </c>
      <c r="R706" s="53" t="s">
        <v>5781</v>
      </c>
    </row>
    <row r="707" spans="2:18" s="4" customFormat="1" ht="51" customHeight="1" x14ac:dyDescent="0.25">
      <c r="B707" s="24">
        <v>45322</v>
      </c>
      <c r="C707" s="24">
        <v>45474</v>
      </c>
      <c r="D707" s="53" t="s">
        <v>5746</v>
      </c>
      <c r="E707" s="26" t="s">
        <v>5780</v>
      </c>
      <c r="F707" s="53" t="s">
        <v>5759</v>
      </c>
      <c r="G707" s="56" t="s">
        <v>5768</v>
      </c>
      <c r="H707" s="53" t="s">
        <v>5777</v>
      </c>
      <c r="I707" s="53" t="s">
        <v>19</v>
      </c>
      <c r="J707" s="791">
        <v>135957.91</v>
      </c>
      <c r="K707" s="53">
        <v>56.6248</v>
      </c>
      <c r="L707" s="59">
        <f t="shared" si="81"/>
        <v>2401.0311736200392</v>
      </c>
      <c r="M707" s="53">
        <v>60</v>
      </c>
      <c r="N707" s="57">
        <f t="shared" si="78"/>
        <v>2265.9651666666668</v>
      </c>
      <c r="O707" s="38">
        <f t="shared" ca="1" si="79"/>
        <v>18</v>
      </c>
      <c r="P707" s="36">
        <f t="shared" ca="1" si="77"/>
        <v>95170.536999999997</v>
      </c>
      <c r="Q707" s="36">
        <f t="shared" ca="1" si="80"/>
        <v>95170.536999999997</v>
      </c>
      <c r="R707" s="53" t="s">
        <v>5781</v>
      </c>
    </row>
    <row r="708" spans="2:18" s="4" customFormat="1" ht="99.75" customHeight="1" x14ac:dyDescent="0.25">
      <c r="B708" s="24">
        <v>45323</v>
      </c>
      <c r="C708" s="24">
        <v>45469</v>
      </c>
      <c r="D708" s="56" t="s">
        <v>5623</v>
      </c>
      <c r="E708" s="26" t="s">
        <v>5745</v>
      </c>
      <c r="F708" s="53" t="s">
        <v>5625</v>
      </c>
      <c r="G708" s="56" t="s">
        <v>5624</v>
      </c>
      <c r="H708" s="53" t="s">
        <v>5836</v>
      </c>
      <c r="I708" s="53" t="s">
        <v>19</v>
      </c>
      <c r="J708" s="791">
        <v>91355</v>
      </c>
      <c r="K708" s="53">
        <v>58.6736</v>
      </c>
      <c r="L708" s="59">
        <f t="shared" si="81"/>
        <v>1557.0034904965776</v>
      </c>
      <c r="M708" s="53">
        <v>60</v>
      </c>
      <c r="N708" s="57">
        <f t="shared" si="78"/>
        <v>1522.5833333333333</v>
      </c>
      <c r="O708" s="38">
        <f t="shared" ca="1" si="79"/>
        <v>18</v>
      </c>
      <c r="P708" s="36">
        <f t="shared" ca="1" si="77"/>
        <v>63948.5</v>
      </c>
      <c r="Q708" s="36">
        <f t="shared" ca="1" si="80"/>
        <v>63948.5</v>
      </c>
      <c r="R708" s="53" t="s">
        <v>5728</v>
      </c>
    </row>
    <row r="709" spans="2:18" s="4" customFormat="1" ht="57" customHeight="1" x14ac:dyDescent="0.25">
      <c r="B709" s="24">
        <v>45323</v>
      </c>
      <c r="C709" s="24">
        <v>45469</v>
      </c>
      <c r="D709" s="56" t="s">
        <v>5623</v>
      </c>
      <c r="E709" s="26" t="s">
        <v>5627</v>
      </c>
      <c r="F709" s="53" t="s">
        <v>5679</v>
      </c>
      <c r="G709" s="56" t="s">
        <v>5645</v>
      </c>
      <c r="H709" s="53" t="s">
        <v>5836</v>
      </c>
      <c r="I709" s="53" t="s">
        <v>19</v>
      </c>
      <c r="J709" s="791">
        <v>12596.5</v>
      </c>
      <c r="K709" s="53">
        <v>58.6736</v>
      </c>
      <c r="L709" s="59">
        <f t="shared" si="81"/>
        <v>214.68769599956369</v>
      </c>
      <c r="M709" s="53">
        <v>60</v>
      </c>
      <c r="N709" s="57">
        <f t="shared" si="78"/>
        <v>209.94166666666666</v>
      </c>
      <c r="O709" s="38">
        <f t="shared" ca="1" si="79"/>
        <v>18</v>
      </c>
      <c r="P709" s="36">
        <f t="shared" ca="1" si="77"/>
        <v>8817.5499999999993</v>
      </c>
      <c r="Q709" s="36">
        <f t="shared" ca="1" si="80"/>
        <v>8817.5499999999993</v>
      </c>
      <c r="R709" s="53" t="s">
        <v>5728</v>
      </c>
    </row>
    <row r="710" spans="2:18" s="4" customFormat="1" ht="57" customHeight="1" x14ac:dyDescent="0.25">
      <c r="B710" s="24">
        <v>45323</v>
      </c>
      <c r="C710" s="24">
        <v>45469</v>
      </c>
      <c r="D710" s="56" t="s">
        <v>5623</v>
      </c>
      <c r="E710" s="26" t="s">
        <v>5628</v>
      </c>
      <c r="F710" s="53" t="s">
        <v>5682</v>
      </c>
      <c r="G710" s="56" t="s">
        <v>5646</v>
      </c>
      <c r="H710" s="53" t="s">
        <v>5836</v>
      </c>
      <c r="I710" s="53" t="s">
        <v>19</v>
      </c>
      <c r="J710" s="791">
        <v>12596.5</v>
      </c>
      <c r="K710" s="53">
        <v>58.6736</v>
      </c>
      <c r="L710" s="59">
        <f t="shared" si="81"/>
        <v>214.68769599956369</v>
      </c>
      <c r="M710" s="53">
        <v>60</v>
      </c>
      <c r="N710" s="57">
        <f t="shared" si="78"/>
        <v>209.94166666666666</v>
      </c>
      <c r="O710" s="38">
        <f t="shared" ca="1" si="79"/>
        <v>18</v>
      </c>
      <c r="P710" s="36">
        <f t="shared" ca="1" si="77"/>
        <v>8817.5499999999993</v>
      </c>
      <c r="Q710" s="36">
        <f t="shared" ca="1" si="80"/>
        <v>8817.5499999999993</v>
      </c>
      <c r="R710" s="53" t="s">
        <v>5728</v>
      </c>
    </row>
    <row r="711" spans="2:18" s="4" customFormat="1" ht="57" customHeight="1" x14ac:dyDescent="0.25">
      <c r="B711" s="24">
        <v>45323</v>
      </c>
      <c r="C711" s="24">
        <v>45469</v>
      </c>
      <c r="D711" s="56" t="s">
        <v>5623</v>
      </c>
      <c r="E711" s="26" t="s">
        <v>5629</v>
      </c>
      <c r="F711" s="53" t="s">
        <v>5644</v>
      </c>
      <c r="G711" s="56" t="s">
        <v>5647</v>
      </c>
      <c r="H711" s="53" t="s">
        <v>5836</v>
      </c>
      <c r="I711" s="53" t="s">
        <v>19</v>
      </c>
      <c r="J711" s="791">
        <v>12596.5</v>
      </c>
      <c r="K711" s="53">
        <v>58.6736</v>
      </c>
      <c r="L711" s="59">
        <f t="shared" si="81"/>
        <v>214.68769599956369</v>
      </c>
      <c r="M711" s="53">
        <v>60</v>
      </c>
      <c r="N711" s="57">
        <f t="shared" si="78"/>
        <v>209.94166666666666</v>
      </c>
      <c r="O711" s="38">
        <f t="shared" ca="1" si="79"/>
        <v>18</v>
      </c>
      <c r="P711" s="36">
        <f t="shared" ca="1" si="77"/>
        <v>8817.5499999999993</v>
      </c>
      <c r="Q711" s="36">
        <f t="shared" ca="1" si="80"/>
        <v>8817.5499999999993</v>
      </c>
      <c r="R711" s="53" t="s">
        <v>5728</v>
      </c>
    </row>
    <row r="712" spans="2:18" s="4" customFormat="1" ht="57" customHeight="1" x14ac:dyDescent="0.25">
      <c r="B712" s="24">
        <v>45323</v>
      </c>
      <c r="C712" s="24">
        <v>45469</v>
      </c>
      <c r="D712" s="56" t="s">
        <v>5623</v>
      </c>
      <c r="E712" s="26" t="s">
        <v>5630</v>
      </c>
      <c r="F712" s="53" t="s">
        <v>5644</v>
      </c>
      <c r="G712" s="56" t="s">
        <v>5648</v>
      </c>
      <c r="H712" s="53" t="s">
        <v>5836</v>
      </c>
      <c r="I712" s="53" t="s">
        <v>19</v>
      </c>
      <c r="J712" s="791">
        <v>12596.5</v>
      </c>
      <c r="K712" s="53">
        <v>58.6736</v>
      </c>
      <c r="L712" s="59">
        <f t="shared" si="81"/>
        <v>214.68769599956369</v>
      </c>
      <c r="M712" s="53">
        <v>60</v>
      </c>
      <c r="N712" s="57">
        <f t="shared" si="78"/>
        <v>209.94166666666666</v>
      </c>
      <c r="O712" s="38">
        <f t="shared" ca="1" si="79"/>
        <v>18</v>
      </c>
      <c r="P712" s="36">
        <f t="shared" ca="1" si="77"/>
        <v>8817.5499999999993</v>
      </c>
      <c r="Q712" s="36">
        <f t="shared" ca="1" si="80"/>
        <v>8817.5499999999993</v>
      </c>
      <c r="R712" s="53" t="s">
        <v>5728</v>
      </c>
    </row>
    <row r="713" spans="2:18" s="4" customFormat="1" ht="57.75" customHeight="1" x14ac:dyDescent="0.25">
      <c r="B713" s="24">
        <v>45323</v>
      </c>
      <c r="C713" s="24">
        <v>45469</v>
      </c>
      <c r="D713" s="56" t="s">
        <v>5623</v>
      </c>
      <c r="E713" s="26" t="s">
        <v>5631</v>
      </c>
      <c r="F713" s="53" t="s">
        <v>5644</v>
      </c>
      <c r="G713" s="56" t="s">
        <v>5649</v>
      </c>
      <c r="H713" s="53" t="s">
        <v>5836</v>
      </c>
      <c r="I713" s="53" t="s">
        <v>19</v>
      </c>
      <c r="J713" s="791">
        <v>12596.5</v>
      </c>
      <c r="K713" s="53">
        <v>58.6736</v>
      </c>
      <c r="L713" s="59">
        <f t="shared" si="81"/>
        <v>214.68769599956369</v>
      </c>
      <c r="M713" s="53">
        <v>60</v>
      </c>
      <c r="N713" s="57">
        <f t="shared" si="78"/>
        <v>209.94166666666666</v>
      </c>
      <c r="O713" s="38">
        <f t="shared" ca="1" si="79"/>
        <v>18</v>
      </c>
      <c r="P713" s="36">
        <f t="shared" ca="1" si="77"/>
        <v>8817.5499999999993</v>
      </c>
      <c r="Q713" s="36">
        <f t="shared" ca="1" si="80"/>
        <v>8817.5499999999993</v>
      </c>
      <c r="R713" s="53" t="s">
        <v>5728</v>
      </c>
    </row>
    <row r="714" spans="2:18" s="4" customFormat="1" ht="57.75" customHeight="1" x14ac:dyDescent="0.25">
      <c r="B714" s="24">
        <v>45323</v>
      </c>
      <c r="C714" s="24">
        <v>45469</v>
      </c>
      <c r="D714" s="56" t="s">
        <v>5623</v>
      </c>
      <c r="E714" s="26" t="s">
        <v>5632</v>
      </c>
      <c r="F714" s="53" t="s">
        <v>5644</v>
      </c>
      <c r="G714" s="56" t="s">
        <v>5650</v>
      </c>
      <c r="H714" s="53" t="s">
        <v>5836</v>
      </c>
      <c r="I714" s="53" t="s">
        <v>19</v>
      </c>
      <c r="J714" s="791">
        <v>12596.5</v>
      </c>
      <c r="K714" s="53">
        <v>58.6736</v>
      </c>
      <c r="L714" s="59">
        <f t="shared" si="81"/>
        <v>214.68769599956369</v>
      </c>
      <c r="M714" s="53">
        <v>60</v>
      </c>
      <c r="N714" s="57">
        <f t="shared" si="78"/>
        <v>209.94166666666666</v>
      </c>
      <c r="O714" s="38">
        <f t="shared" ca="1" si="79"/>
        <v>18</v>
      </c>
      <c r="P714" s="36">
        <f t="shared" ca="1" si="77"/>
        <v>8817.5499999999993</v>
      </c>
      <c r="Q714" s="36">
        <f t="shared" ca="1" si="80"/>
        <v>8817.5499999999993</v>
      </c>
      <c r="R714" s="53" t="s">
        <v>5728</v>
      </c>
    </row>
    <row r="715" spans="2:18" s="4" customFormat="1" ht="57.75" customHeight="1" x14ac:dyDescent="0.25">
      <c r="B715" s="24">
        <v>45323</v>
      </c>
      <c r="C715" s="24">
        <v>45469</v>
      </c>
      <c r="D715" s="56" t="s">
        <v>5623</v>
      </c>
      <c r="E715" s="26" t="s">
        <v>5633</v>
      </c>
      <c r="F715" s="53" t="s">
        <v>5644</v>
      </c>
      <c r="G715" s="56" t="s">
        <v>5651</v>
      </c>
      <c r="H715" s="53" t="s">
        <v>5836</v>
      </c>
      <c r="I715" s="53" t="s">
        <v>19</v>
      </c>
      <c r="J715" s="791">
        <v>12596.5</v>
      </c>
      <c r="K715" s="53">
        <v>58.6736</v>
      </c>
      <c r="L715" s="59">
        <f t="shared" si="81"/>
        <v>214.68769599956369</v>
      </c>
      <c r="M715" s="53">
        <v>60</v>
      </c>
      <c r="N715" s="57">
        <f t="shared" si="78"/>
        <v>209.94166666666666</v>
      </c>
      <c r="O715" s="38">
        <f t="shared" ca="1" si="79"/>
        <v>18</v>
      </c>
      <c r="P715" s="36">
        <f t="shared" ca="1" si="77"/>
        <v>8817.5499999999993</v>
      </c>
      <c r="Q715" s="36">
        <f t="shared" ca="1" si="80"/>
        <v>8817.5499999999993</v>
      </c>
      <c r="R715" s="53" t="s">
        <v>5728</v>
      </c>
    </row>
    <row r="716" spans="2:18" s="4" customFormat="1" ht="57.75" customHeight="1" x14ac:dyDescent="0.25">
      <c r="B716" s="24">
        <v>45323</v>
      </c>
      <c r="C716" s="24">
        <v>45469</v>
      </c>
      <c r="D716" s="56" t="s">
        <v>5623</v>
      </c>
      <c r="E716" s="26" t="s">
        <v>5634</v>
      </c>
      <c r="F716" s="53" t="s">
        <v>5644</v>
      </c>
      <c r="G716" s="56" t="s">
        <v>5652</v>
      </c>
      <c r="H716" s="53" t="s">
        <v>5836</v>
      </c>
      <c r="I716" s="53" t="s">
        <v>19</v>
      </c>
      <c r="J716" s="791">
        <v>12596.5</v>
      </c>
      <c r="K716" s="53">
        <v>58.6736</v>
      </c>
      <c r="L716" s="59">
        <f t="shared" si="81"/>
        <v>214.68769599956369</v>
      </c>
      <c r="M716" s="53">
        <v>60</v>
      </c>
      <c r="N716" s="57">
        <f t="shared" si="78"/>
        <v>209.94166666666666</v>
      </c>
      <c r="O716" s="38">
        <f t="shared" ca="1" si="79"/>
        <v>18</v>
      </c>
      <c r="P716" s="36">
        <f t="shared" ca="1" si="77"/>
        <v>8817.5499999999993</v>
      </c>
      <c r="Q716" s="36">
        <f t="shared" ca="1" si="80"/>
        <v>8817.5499999999993</v>
      </c>
      <c r="R716" s="53" t="s">
        <v>5728</v>
      </c>
    </row>
    <row r="717" spans="2:18" s="4" customFormat="1" ht="57.75" customHeight="1" x14ac:dyDescent="0.25">
      <c r="B717" s="24">
        <v>45323</v>
      </c>
      <c r="C717" s="24">
        <v>45469</v>
      </c>
      <c r="D717" s="56" t="s">
        <v>5623</v>
      </c>
      <c r="E717" s="26" t="s">
        <v>5635</v>
      </c>
      <c r="F717" s="53" t="s">
        <v>5644</v>
      </c>
      <c r="G717" s="56" t="s">
        <v>5653</v>
      </c>
      <c r="H717" s="53" t="s">
        <v>5836</v>
      </c>
      <c r="I717" s="53" t="s">
        <v>19</v>
      </c>
      <c r="J717" s="791">
        <v>12596.5</v>
      </c>
      <c r="K717" s="53">
        <v>58.6736</v>
      </c>
      <c r="L717" s="59">
        <f t="shared" si="81"/>
        <v>214.68769599956369</v>
      </c>
      <c r="M717" s="53">
        <v>60</v>
      </c>
      <c r="N717" s="57">
        <f t="shared" si="78"/>
        <v>209.94166666666666</v>
      </c>
      <c r="O717" s="38">
        <f t="shared" ca="1" si="79"/>
        <v>18</v>
      </c>
      <c r="P717" s="36">
        <f t="shared" ca="1" si="77"/>
        <v>8817.5499999999993</v>
      </c>
      <c r="Q717" s="36">
        <f t="shared" ca="1" si="80"/>
        <v>8817.5499999999993</v>
      </c>
      <c r="R717" s="53" t="s">
        <v>5728</v>
      </c>
    </row>
    <row r="718" spans="2:18" s="4" customFormat="1" ht="57.75" customHeight="1" x14ac:dyDescent="0.25">
      <c r="B718" s="24">
        <v>45323</v>
      </c>
      <c r="C718" s="24">
        <v>45469</v>
      </c>
      <c r="D718" s="56" t="s">
        <v>5623</v>
      </c>
      <c r="E718" s="26" t="s">
        <v>5636</v>
      </c>
      <c r="F718" s="53" t="s">
        <v>5644</v>
      </c>
      <c r="G718" s="56" t="s">
        <v>5654</v>
      </c>
      <c r="H718" s="53" t="s">
        <v>5836</v>
      </c>
      <c r="I718" s="53" t="s">
        <v>19</v>
      </c>
      <c r="J718" s="791">
        <v>12596.5</v>
      </c>
      <c r="K718" s="53">
        <v>58.6736</v>
      </c>
      <c r="L718" s="59">
        <f t="shared" si="81"/>
        <v>214.68769599956369</v>
      </c>
      <c r="M718" s="53">
        <v>60</v>
      </c>
      <c r="N718" s="57">
        <f t="shared" si="78"/>
        <v>209.94166666666666</v>
      </c>
      <c r="O718" s="38">
        <f t="shared" ca="1" si="79"/>
        <v>18</v>
      </c>
      <c r="P718" s="36">
        <f t="shared" ca="1" si="77"/>
        <v>8817.5499999999993</v>
      </c>
      <c r="Q718" s="36">
        <f t="shared" ca="1" si="80"/>
        <v>8817.5499999999993</v>
      </c>
      <c r="R718" s="53" t="s">
        <v>5728</v>
      </c>
    </row>
    <row r="719" spans="2:18" s="4" customFormat="1" ht="57.75" customHeight="1" x14ac:dyDescent="0.25">
      <c r="B719" s="24">
        <v>45323</v>
      </c>
      <c r="C719" s="24">
        <v>45469</v>
      </c>
      <c r="D719" s="56" t="s">
        <v>5623</v>
      </c>
      <c r="E719" s="26" t="s">
        <v>5637</v>
      </c>
      <c r="F719" s="53" t="s">
        <v>5644</v>
      </c>
      <c r="G719" s="56" t="s">
        <v>5655</v>
      </c>
      <c r="H719" s="53" t="s">
        <v>5836</v>
      </c>
      <c r="I719" s="53" t="s">
        <v>19</v>
      </c>
      <c r="J719" s="791">
        <v>12596.5</v>
      </c>
      <c r="K719" s="53">
        <v>58.6736</v>
      </c>
      <c r="L719" s="59">
        <f t="shared" si="81"/>
        <v>214.68769599956369</v>
      </c>
      <c r="M719" s="53">
        <v>60</v>
      </c>
      <c r="N719" s="57">
        <f t="shared" si="78"/>
        <v>209.94166666666666</v>
      </c>
      <c r="O719" s="38">
        <f t="shared" ca="1" si="79"/>
        <v>18</v>
      </c>
      <c r="P719" s="36">
        <f t="shared" ca="1" si="77"/>
        <v>8817.5499999999993</v>
      </c>
      <c r="Q719" s="36">
        <f t="shared" ca="1" si="80"/>
        <v>8817.5499999999993</v>
      </c>
      <c r="R719" s="53" t="s">
        <v>5728</v>
      </c>
    </row>
    <row r="720" spans="2:18" s="4" customFormat="1" ht="57.75" customHeight="1" x14ac:dyDescent="0.25">
      <c r="B720" s="24">
        <v>45323</v>
      </c>
      <c r="C720" s="24">
        <v>45469</v>
      </c>
      <c r="D720" s="56" t="s">
        <v>5623</v>
      </c>
      <c r="E720" s="26" t="s">
        <v>5638</v>
      </c>
      <c r="F720" s="53" t="s">
        <v>5644</v>
      </c>
      <c r="G720" s="56" t="s">
        <v>5656</v>
      </c>
      <c r="H720" s="53" t="s">
        <v>5836</v>
      </c>
      <c r="I720" s="53" t="s">
        <v>19</v>
      </c>
      <c r="J720" s="791">
        <v>12596.5</v>
      </c>
      <c r="K720" s="53">
        <v>58.6736</v>
      </c>
      <c r="L720" s="59">
        <f t="shared" si="81"/>
        <v>214.68769599956369</v>
      </c>
      <c r="M720" s="53">
        <v>60</v>
      </c>
      <c r="N720" s="57">
        <f t="shared" si="78"/>
        <v>209.94166666666666</v>
      </c>
      <c r="O720" s="38">
        <f t="shared" ca="1" si="79"/>
        <v>18</v>
      </c>
      <c r="P720" s="36">
        <f t="shared" ca="1" si="77"/>
        <v>8817.5499999999993</v>
      </c>
      <c r="Q720" s="36">
        <f t="shared" ca="1" si="80"/>
        <v>8817.5499999999993</v>
      </c>
      <c r="R720" s="53" t="s">
        <v>5728</v>
      </c>
    </row>
    <row r="721" spans="2:18" s="4" customFormat="1" ht="57.75" customHeight="1" x14ac:dyDescent="0.25">
      <c r="B721" s="24">
        <v>45323</v>
      </c>
      <c r="C721" s="24">
        <v>45469</v>
      </c>
      <c r="D721" s="56" t="s">
        <v>5623</v>
      </c>
      <c r="E721" s="26" t="s">
        <v>5639</v>
      </c>
      <c r="F721" s="53" t="s">
        <v>5644</v>
      </c>
      <c r="G721" s="56" t="s">
        <v>5657</v>
      </c>
      <c r="H721" s="53" t="s">
        <v>5836</v>
      </c>
      <c r="I721" s="53" t="s">
        <v>19</v>
      </c>
      <c r="J721" s="791">
        <v>12596.5</v>
      </c>
      <c r="K721" s="53">
        <v>58.6736</v>
      </c>
      <c r="L721" s="59">
        <f t="shared" si="81"/>
        <v>214.68769599956369</v>
      </c>
      <c r="M721" s="53">
        <v>60</v>
      </c>
      <c r="N721" s="57">
        <f t="shared" si="78"/>
        <v>209.94166666666666</v>
      </c>
      <c r="O721" s="38">
        <f t="shared" ca="1" si="79"/>
        <v>18</v>
      </c>
      <c r="P721" s="36">
        <f t="shared" ca="1" si="77"/>
        <v>8817.5499999999993</v>
      </c>
      <c r="Q721" s="36">
        <f t="shared" ca="1" si="80"/>
        <v>8817.5499999999993</v>
      </c>
      <c r="R721" s="53" t="s">
        <v>5728</v>
      </c>
    </row>
    <row r="722" spans="2:18" s="4" customFormat="1" ht="57.75" customHeight="1" x14ac:dyDescent="0.25">
      <c r="B722" s="24">
        <v>45323</v>
      </c>
      <c r="C722" s="24">
        <v>45469</v>
      </c>
      <c r="D722" s="56" t="s">
        <v>5623</v>
      </c>
      <c r="E722" s="26" t="s">
        <v>5640</v>
      </c>
      <c r="F722" s="53" t="s">
        <v>5644</v>
      </c>
      <c r="G722" s="56" t="s">
        <v>5658</v>
      </c>
      <c r="H722" s="53" t="s">
        <v>5836</v>
      </c>
      <c r="I722" s="53" t="s">
        <v>19</v>
      </c>
      <c r="J722" s="791">
        <v>12596.5</v>
      </c>
      <c r="K722" s="53">
        <v>58.6736</v>
      </c>
      <c r="L722" s="59">
        <f t="shared" si="81"/>
        <v>214.68769599956369</v>
      </c>
      <c r="M722" s="53">
        <v>60</v>
      </c>
      <c r="N722" s="57">
        <f t="shared" si="78"/>
        <v>209.94166666666666</v>
      </c>
      <c r="O722" s="38">
        <f t="shared" ca="1" si="79"/>
        <v>18</v>
      </c>
      <c r="P722" s="36">
        <f t="shared" ca="1" si="77"/>
        <v>8817.5499999999993</v>
      </c>
      <c r="Q722" s="36">
        <f t="shared" ca="1" si="80"/>
        <v>8817.5499999999993</v>
      </c>
      <c r="R722" s="53" t="s">
        <v>5728</v>
      </c>
    </row>
    <row r="723" spans="2:18" s="4" customFormat="1" ht="57.75" customHeight="1" x14ac:dyDescent="0.25">
      <c r="B723" s="24">
        <v>45323</v>
      </c>
      <c r="C723" s="24">
        <v>45469</v>
      </c>
      <c r="D723" s="56" t="s">
        <v>5623</v>
      </c>
      <c r="E723" s="26" t="s">
        <v>5641</v>
      </c>
      <c r="F723" s="53" t="s">
        <v>5678</v>
      </c>
      <c r="G723" s="56" t="s">
        <v>5659</v>
      </c>
      <c r="H723" s="53" t="s">
        <v>5836</v>
      </c>
      <c r="I723" s="53" t="s">
        <v>19</v>
      </c>
      <c r="J723" s="791">
        <v>12596.5</v>
      </c>
      <c r="K723" s="53">
        <v>58.6736</v>
      </c>
      <c r="L723" s="59">
        <f t="shared" si="81"/>
        <v>214.68769599956369</v>
      </c>
      <c r="M723" s="53">
        <v>60</v>
      </c>
      <c r="N723" s="57">
        <f t="shared" si="78"/>
        <v>209.94166666666666</v>
      </c>
      <c r="O723" s="38">
        <f t="shared" ca="1" si="79"/>
        <v>18</v>
      </c>
      <c r="P723" s="36">
        <f t="shared" ca="1" si="77"/>
        <v>8817.5499999999993</v>
      </c>
      <c r="Q723" s="36">
        <f t="shared" ca="1" si="80"/>
        <v>8817.5499999999993</v>
      </c>
      <c r="R723" s="53" t="s">
        <v>5728</v>
      </c>
    </row>
    <row r="724" spans="2:18" s="4" customFormat="1" ht="57.75" customHeight="1" x14ac:dyDescent="0.25">
      <c r="B724" s="24">
        <v>45323</v>
      </c>
      <c r="C724" s="24">
        <v>45469</v>
      </c>
      <c r="D724" s="56" t="s">
        <v>5623</v>
      </c>
      <c r="E724" s="26" t="s">
        <v>5642</v>
      </c>
      <c r="F724" s="53" t="s">
        <v>5680</v>
      </c>
      <c r="G724" s="925" t="s">
        <v>5681</v>
      </c>
      <c r="H724" s="53" t="s">
        <v>5836</v>
      </c>
      <c r="I724" s="53" t="s">
        <v>19</v>
      </c>
      <c r="J724" s="791">
        <v>10089</v>
      </c>
      <c r="K724" s="53">
        <v>58.6736</v>
      </c>
      <c r="L724" s="59">
        <f t="shared" si="81"/>
        <v>171.95126939543508</v>
      </c>
      <c r="M724" s="53">
        <v>60</v>
      </c>
      <c r="N724" s="57">
        <f t="shared" si="78"/>
        <v>168.15</v>
      </c>
      <c r="O724" s="38">
        <f t="shared" ca="1" si="79"/>
        <v>18</v>
      </c>
      <c r="P724" s="36">
        <f t="shared" ca="1" si="77"/>
        <v>7062.2999999999993</v>
      </c>
      <c r="Q724" s="36">
        <f t="shared" ca="1" si="80"/>
        <v>7062.2999999999993</v>
      </c>
      <c r="R724" s="53" t="s">
        <v>5728</v>
      </c>
    </row>
    <row r="725" spans="2:18" s="4" customFormat="1" ht="51" customHeight="1" x14ac:dyDescent="0.25">
      <c r="B725" s="24">
        <v>45323</v>
      </c>
      <c r="C725" s="24">
        <v>45469</v>
      </c>
      <c r="D725" s="56" t="s">
        <v>5623</v>
      </c>
      <c r="E725" s="26" t="s">
        <v>5643</v>
      </c>
      <c r="F725" s="53" t="s">
        <v>5680</v>
      </c>
      <c r="G725" s="925" t="s">
        <v>5683</v>
      </c>
      <c r="H725" s="53" t="s">
        <v>5836</v>
      </c>
      <c r="I725" s="53" t="s">
        <v>19</v>
      </c>
      <c r="J725" s="791">
        <v>10089</v>
      </c>
      <c r="K725" s="53">
        <v>58.6736</v>
      </c>
      <c r="L725" s="59">
        <f t="shared" si="81"/>
        <v>171.95126939543508</v>
      </c>
      <c r="M725" s="53">
        <v>60</v>
      </c>
      <c r="N725" s="57">
        <f t="shared" si="78"/>
        <v>168.15</v>
      </c>
      <c r="O725" s="38">
        <f t="shared" ca="1" si="79"/>
        <v>18</v>
      </c>
      <c r="P725" s="36">
        <f t="shared" ca="1" si="77"/>
        <v>7062.2999999999993</v>
      </c>
      <c r="Q725" s="36">
        <f t="shared" ca="1" si="80"/>
        <v>7062.2999999999993</v>
      </c>
      <c r="R725" s="53" t="s">
        <v>5728</v>
      </c>
    </row>
    <row r="726" spans="2:18" s="4" customFormat="1" ht="51" customHeight="1" x14ac:dyDescent="0.25">
      <c r="B726" s="24">
        <v>45323</v>
      </c>
      <c r="C726" s="24">
        <v>45469</v>
      </c>
      <c r="D726" s="56" t="s">
        <v>5623</v>
      </c>
      <c r="E726" s="26" t="s">
        <v>5660</v>
      </c>
      <c r="F726" s="53" t="s">
        <v>5680</v>
      </c>
      <c r="G726" s="925" t="s">
        <v>5684</v>
      </c>
      <c r="H726" s="53" t="s">
        <v>5836</v>
      </c>
      <c r="I726" s="53" t="s">
        <v>19</v>
      </c>
      <c r="J726" s="791">
        <v>10089</v>
      </c>
      <c r="K726" s="53">
        <v>58.6736</v>
      </c>
      <c r="L726" s="59">
        <f t="shared" si="81"/>
        <v>171.95126939543508</v>
      </c>
      <c r="M726" s="53">
        <v>60</v>
      </c>
      <c r="N726" s="57">
        <f t="shared" si="78"/>
        <v>168.15</v>
      </c>
      <c r="O726" s="38">
        <f t="shared" ca="1" si="79"/>
        <v>18</v>
      </c>
      <c r="P726" s="36">
        <f t="shared" ca="1" si="77"/>
        <v>7062.2999999999993</v>
      </c>
      <c r="Q726" s="36">
        <f t="shared" ca="1" si="80"/>
        <v>7062.2999999999993</v>
      </c>
      <c r="R726" s="53" t="s">
        <v>5728</v>
      </c>
    </row>
    <row r="727" spans="2:18" s="4" customFormat="1" ht="51" customHeight="1" x14ac:dyDescent="0.25">
      <c r="B727" s="24">
        <v>45323</v>
      </c>
      <c r="C727" s="24">
        <v>45469</v>
      </c>
      <c r="D727" s="56" t="s">
        <v>5623</v>
      </c>
      <c r="E727" s="26" t="s">
        <v>5661</v>
      </c>
      <c r="F727" s="53" t="s">
        <v>5680</v>
      </c>
      <c r="G727" s="925" t="s">
        <v>5685</v>
      </c>
      <c r="H727" s="53" t="s">
        <v>5836</v>
      </c>
      <c r="I727" s="53" t="s">
        <v>19</v>
      </c>
      <c r="J727" s="791">
        <v>10089</v>
      </c>
      <c r="K727" s="53">
        <v>58.6736</v>
      </c>
      <c r="L727" s="59">
        <f t="shared" si="81"/>
        <v>171.95126939543508</v>
      </c>
      <c r="M727" s="53">
        <v>60</v>
      </c>
      <c r="N727" s="57">
        <f t="shared" si="78"/>
        <v>168.15</v>
      </c>
      <c r="O727" s="38">
        <f t="shared" ca="1" si="79"/>
        <v>18</v>
      </c>
      <c r="P727" s="36">
        <f t="shared" ca="1" si="77"/>
        <v>7062.2999999999993</v>
      </c>
      <c r="Q727" s="36">
        <f t="shared" ca="1" si="80"/>
        <v>7062.2999999999993</v>
      </c>
      <c r="R727" s="53" t="s">
        <v>5728</v>
      </c>
    </row>
    <row r="728" spans="2:18" s="4" customFormat="1" ht="51" customHeight="1" x14ac:dyDescent="0.25">
      <c r="B728" s="24">
        <v>45323</v>
      </c>
      <c r="C728" s="24">
        <v>45469</v>
      </c>
      <c r="D728" s="56" t="s">
        <v>5623</v>
      </c>
      <c r="E728" s="26" t="s">
        <v>5662</v>
      </c>
      <c r="F728" s="53" t="s">
        <v>5680</v>
      </c>
      <c r="G728" s="925" t="s">
        <v>5686</v>
      </c>
      <c r="H728" s="53" t="s">
        <v>5836</v>
      </c>
      <c r="I728" s="53" t="s">
        <v>19</v>
      </c>
      <c r="J728" s="791">
        <v>10089</v>
      </c>
      <c r="K728" s="53">
        <v>58.6736</v>
      </c>
      <c r="L728" s="59">
        <f t="shared" si="81"/>
        <v>171.95126939543508</v>
      </c>
      <c r="M728" s="53">
        <v>60</v>
      </c>
      <c r="N728" s="57">
        <f t="shared" si="78"/>
        <v>168.15</v>
      </c>
      <c r="O728" s="38">
        <f t="shared" ca="1" si="79"/>
        <v>18</v>
      </c>
      <c r="P728" s="36">
        <f t="shared" ca="1" si="77"/>
        <v>7062.2999999999993</v>
      </c>
      <c r="Q728" s="36">
        <f t="shared" ca="1" si="80"/>
        <v>7062.2999999999993</v>
      </c>
      <c r="R728" s="53" t="s">
        <v>5728</v>
      </c>
    </row>
    <row r="729" spans="2:18" s="4" customFormat="1" ht="51" customHeight="1" x14ac:dyDescent="0.25">
      <c r="B729" s="24">
        <v>45323</v>
      </c>
      <c r="C729" s="24">
        <v>45469</v>
      </c>
      <c r="D729" s="56" t="s">
        <v>5623</v>
      </c>
      <c r="E729" s="26" t="s">
        <v>5663</v>
      </c>
      <c r="F729" s="53" t="s">
        <v>5680</v>
      </c>
      <c r="G729" s="925" t="s">
        <v>5687</v>
      </c>
      <c r="H729" s="53" t="s">
        <v>5836</v>
      </c>
      <c r="I729" s="53" t="s">
        <v>19</v>
      </c>
      <c r="J729" s="791">
        <v>10089</v>
      </c>
      <c r="K729" s="53">
        <v>58.6736</v>
      </c>
      <c r="L729" s="59">
        <f t="shared" si="81"/>
        <v>171.95126939543508</v>
      </c>
      <c r="M729" s="53">
        <v>60</v>
      </c>
      <c r="N729" s="57">
        <f t="shared" si="78"/>
        <v>168.15</v>
      </c>
      <c r="O729" s="38">
        <f t="shared" ca="1" si="79"/>
        <v>18</v>
      </c>
      <c r="P729" s="36">
        <f t="shared" ca="1" si="77"/>
        <v>7062.2999999999993</v>
      </c>
      <c r="Q729" s="36">
        <f t="shared" ca="1" si="80"/>
        <v>7062.2999999999993</v>
      </c>
      <c r="R729" s="53" t="s">
        <v>5728</v>
      </c>
    </row>
    <row r="730" spans="2:18" s="4" customFormat="1" ht="51" customHeight="1" x14ac:dyDescent="0.25">
      <c r="B730" s="24">
        <v>45323</v>
      </c>
      <c r="C730" s="24">
        <v>45469</v>
      </c>
      <c r="D730" s="56" t="s">
        <v>5623</v>
      </c>
      <c r="E730" s="26" t="s">
        <v>5664</v>
      </c>
      <c r="F730" s="53" t="s">
        <v>5680</v>
      </c>
      <c r="G730" s="925" t="s">
        <v>5688</v>
      </c>
      <c r="H730" s="53" t="s">
        <v>5836</v>
      </c>
      <c r="I730" s="53" t="s">
        <v>19</v>
      </c>
      <c r="J730" s="791">
        <v>10089</v>
      </c>
      <c r="K730" s="53">
        <v>58.6736</v>
      </c>
      <c r="L730" s="59">
        <f t="shared" si="81"/>
        <v>171.95126939543508</v>
      </c>
      <c r="M730" s="53">
        <v>60</v>
      </c>
      <c r="N730" s="57">
        <f t="shared" si="78"/>
        <v>168.15</v>
      </c>
      <c r="O730" s="38">
        <f t="shared" ca="1" si="79"/>
        <v>18</v>
      </c>
      <c r="P730" s="36">
        <f t="shared" ca="1" si="77"/>
        <v>7062.2999999999993</v>
      </c>
      <c r="Q730" s="36">
        <f t="shared" ca="1" si="80"/>
        <v>7062.2999999999993</v>
      </c>
      <c r="R730" s="53" t="s">
        <v>5728</v>
      </c>
    </row>
    <row r="731" spans="2:18" s="4" customFormat="1" ht="51" customHeight="1" x14ac:dyDescent="0.25">
      <c r="B731" s="24">
        <v>45323</v>
      </c>
      <c r="C731" s="24">
        <v>45469</v>
      </c>
      <c r="D731" s="56" t="s">
        <v>5623</v>
      </c>
      <c r="E731" s="26" t="s">
        <v>5665</v>
      </c>
      <c r="F731" s="53" t="s">
        <v>5680</v>
      </c>
      <c r="G731" s="925" t="s">
        <v>5689</v>
      </c>
      <c r="H731" s="53" t="s">
        <v>5836</v>
      </c>
      <c r="I731" s="53" t="s">
        <v>19</v>
      </c>
      <c r="J731" s="791">
        <v>10089</v>
      </c>
      <c r="K731" s="53">
        <v>58.6736</v>
      </c>
      <c r="L731" s="59">
        <f t="shared" si="81"/>
        <v>171.95126939543508</v>
      </c>
      <c r="M731" s="53">
        <v>60</v>
      </c>
      <c r="N731" s="57">
        <f t="shared" si="78"/>
        <v>168.15</v>
      </c>
      <c r="O731" s="38">
        <f t="shared" ca="1" si="79"/>
        <v>18</v>
      </c>
      <c r="P731" s="36">
        <f t="shared" ca="1" si="77"/>
        <v>7062.2999999999993</v>
      </c>
      <c r="Q731" s="36">
        <f t="shared" ca="1" si="80"/>
        <v>7062.2999999999993</v>
      </c>
      <c r="R731" s="53" t="s">
        <v>5728</v>
      </c>
    </row>
    <row r="732" spans="2:18" s="4" customFormat="1" ht="51" customHeight="1" x14ac:dyDescent="0.25">
      <c r="B732" s="24">
        <v>45323</v>
      </c>
      <c r="C732" s="24">
        <v>45469</v>
      </c>
      <c r="D732" s="56" t="s">
        <v>5623</v>
      </c>
      <c r="E732" s="26" t="s">
        <v>5666</v>
      </c>
      <c r="F732" s="53" t="s">
        <v>5680</v>
      </c>
      <c r="G732" s="925" t="s">
        <v>5690</v>
      </c>
      <c r="H732" s="53" t="s">
        <v>5836</v>
      </c>
      <c r="I732" s="53" t="s">
        <v>19</v>
      </c>
      <c r="J732" s="791">
        <v>10089</v>
      </c>
      <c r="K732" s="53">
        <v>58.6736</v>
      </c>
      <c r="L732" s="59">
        <f t="shared" si="81"/>
        <v>171.95126939543508</v>
      </c>
      <c r="M732" s="53">
        <v>60</v>
      </c>
      <c r="N732" s="57">
        <f t="shared" si="78"/>
        <v>168.15</v>
      </c>
      <c r="O732" s="38">
        <f t="shared" ca="1" si="79"/>
        <v>18</v>
      </c>
      <c r="P732" s="36">
        <f t="shared" ca="1" si="77"/>
        <v>7062.2999999999993</v>
      </c>
      <c r="Q732" s="36">
        <f t="shared" ca="1" si="80"/>
        <v>7062.2999999999993</v>
      </c>
      <c r="R732" s="53" t="s">
        <v>5728</v>
      </c>
    </row>
    <row r="733" spans="2:18" s="4" customFormat="1" ht="51" customHeight="1" x14ac:dyDescent="0.25">
      <c r="B733" s="24">
        <v>45323</v>
      </c>
      <c r="C733" s="24">
        <v>45469</v>
      </c>
      <c r="D733" s="56" t="s">
        <v>5623</v>
      </c>
      <c r="E733" s="26" t="s">
        <v>5667</v>
      </c>
      <c r="F733" s="53" t="s">
        <v>5680</v>
      </c>
      <c r="G733" s="925" t="s">
        <v>5691</v>
      </c>
      <c r="H733" s="53" t="s">
        <v>5836</v>
      </c>
      <c r="I733" s="53" t="s">
        <v>19</v>
      </c>
      <c r="J733" s="791">
        <v>10089</v>
      </c>
      <c r="K733" s="53">
        <v>58.6736</v>
      </c>
      <c r="L733" s="59">
        <f t="shared" si="81"/>
        <v>171.95126939543508</v>
      </c>
      <c r="M733" s="53">
        <v>60</v>
      </c>
      <c r="N733" s="57">
        <f t="shared" si="78"/>
        <v>168.15</v>
      </c>
      <c r="O733" s="38">
        <f t="shared" ca="1" si="79"/>
        <v>18</v>
      </c>
      <c r="P733" s="36">
        <f t="shared" ca="1" si="77"/>
        <v>7062.2999999999993</v>
      </c>
      <c r="Q733" s="36">
        <f t="shared" ca="1" si="80"/>
        <v>7062.2999999999993</v>
      </c>
      <c r="R733" s="53" t="s">
        <v>5728</v>
      </c>
    </row>
    <row r="734" spans="2:18" s="4" customFormat="1" ht="51" customHeight="1" x14ac:dyDescent="0.25">
      <c r="B734" s="24">
        <v>45323</v>
      </c>
      <c r="C734" s="24">
        <v>45469</v>
      </c>
      <c r="D734" s="56" t="s">
        <v>5623</v>
      </c>
      <c r="E734" s="26" t="s">
        <v>5668</v>
      </c>
      <c r="F734" s="53" t="s">
        <v>5680</v>
      </c>
      <c r="G734" s="925" t="s">
        <v>5692</v>
      </c>
      <c r="H734" s="53" t="s">
        <v>5836</v>
      </c>
      <c r="I734" s="53" t="s">
        <v>19</v>
      </c>
      <c r="J734" s="791">
        <v>10089</v>
      </c>
      <c r="K734" s="53">
        <v>58.6736</v>
      </c>
      <c r="L734" s="59">
        <f t="shared" si="81"/>
        <v>171.95126939543508</v>
      </c>
      <c r="M734" s="53">
        <v>60</v>
      </c>
      <c r="N734" s="57">
        <f t="shared" si="78"/>
        <v>168.15</v>
      </c>
      <c r="O734" s="38">
        <f t="shared" ca="1" si="79"/>
        <v>18</v>
      </c>
      <c r="P734" s="36">
        <f t="shared" ca="1" si="77"/>
        <v>7062.2999999999993</v>
      </c>
      <c r="Q734" s="36">
        <f t="shared" ca="1" si="80"/>
        <v>7062.2999999999993</v>
      </c>
      <c r="R734" s="53" t="s">
        <v>5728</v>
      </c>
    </row>
    <row r="735" spans="2:18" s="4" customFormat="1" ht="51" customHeight="1" x14ac:dyDescent="0.25">
      <c r="B735" s="24">
        <v>45323</v>
      </c>
      <c r="C735" s="24">
        <v>45469</v>
      </c>
      <c r="D735" s="56" t="s">
        <v>5623</v>
      </c>
      <c r="E735" s="26" t="s">
        <v>5669</v>
      </c>
      <c r="F735" s="53" t="s">
        <v>5680</v>
      </c>
      <c r="G735" s="925" t="s">
        <v>5693</v>
      </c>
      <c r="H735" s="53" t="s">
        <v>5836</v>
      </c>
      <c r="I735" s="53" t="s">
        <v>19</v>
      </c>
      <c r="J735" s="791">
        <v>10089</v>
      </c>
      <c r="K735" s="53">
        <v>58.6736</v>
      </c>
      <c r="L735" s="59">
        <f t="shared" si="81"/>
        <v>171.95126939543508</v>
      </c>
      <c r="M735" s="53">
        <v>60</v>
      </c>
      <c r="N735" s="57">
        <f t="shared" si="78"/>
        <v>168.15</v>
      </c>
      <c r="O735" s="38">
        <f t="shared" ca="1" si="79"/>
        <v>18</v>
      </c>
      <c r="P735" s="36">
        <f t="shared" ca="1" si="77"/>
        <v>7062.2999999999993</v>
      </c>
      <c r="Q735" s="36">
        <f t="shared" ca="1" si="80"/>
        <v>7062.2999999999993</v>
      </c>
      <c r="R735" s="53" t="s">
        <v>5728</v>
      </c>
    </row>
    <row r="736" spans="2:18" s="4" customFormat="1" ht="51" customHeight="1" x14ac:dyDescent="0.25">
      <c r="B736" s="24">
        <v>45323</v>
      </c>
      <c r="C736" s="24">
        <v>45469</v>
      </c>
      <c r="D736" s="56" t="s">
        <v>5623</v>
      </c>
      <c r="E736" s="26" t="s">
        <v>5670</v>
      </c>
      <c r="F736" s="53" t="s">
        <v>5680</v>
      </c>
      <c r="G736" s="925" t="s">
        <v>5694</v>
      </c>
      <c r="H736" s="53" t="s">
        <v>5836</v>
      </c>
      <c r="I736" s="53" t="s">
        <v>19</v>
      </c>
      <c r="J736" s="791">
        <v>10089</v>
      </c>
      <c r="K736" s="53">
        <v>58.6736</v>
      </c>
      <c r="L736" s="59">
        <f t="shared" si="81"/>
        <v>171.95126939543508</v>
      </c>
      <c r="M736" s="53">
        <v>60</v>
      </c>
      <c r="N736" s="57">
        <f t="shared" si="78"/>
        <v>168.15</v>
      </c>
      <c r="O736" s="38">
        <f t="shared" ca="1" si="79"/>
        <v>18</v>
      </c>
      <c r="P736" s="36">
        <f t="shared" ca="1" si="77"/>
        <v>7062.2999999999993</v>
      </c>
      <c r="Q736" s="36">
        <f t="shared" ca="1" si="80"/>
        <v>7062.2999999999993</v>
      </c>
      <c r="R736" s="53" t="s">
        <v>5728</v>
      </c>
    </row>
    <row r="737" spans="2:18" s="4" customFormat="1" ht="51" customHeight="1" x14ac:dyDescent="0.25">
      <c r="B737" s="24">
        <v>45323</v>
      </c>
      <c r="C737" s="24">
        <v>45469</v>
      </c>
      <c r="D737" s="56" t="s">
        <v>5623</v>
      </c>
      <c r="E737" s="26" t="s">
        <v>5671</v>
      </c>
      <c r="F737" s="53" t="s">
        <v>5680</v>
      </c>
      <c r="G737" s="925" t="s">
        <v>5695</v>
      </c>
      <c r="H737" s="53" t="s">
        <v>5836</v>
      </c>
      <c r="I737" s="53" t="s">
        <v>19</v>
      </c>
      <c r="J737" s="791">
        <v>10089</v>
      </c>
      <c r="K737" s="53">
        <v>58.6736</v>
      </c>
      <c r="L737" s="59">
        <f t="shared" si="81"/>
        <v>171.95126939543508</v>
      </c>
      <c r="M737" s="53">
        <v>60</v>
      </c>
      <c r="N737" s="57">
        <f t="shared" si="78"/>
        <v>168.15</v>
      </c>
      <c r="O737" s="38">
        <f t="shared" ca="1" si="79"/>
        <v>18</v>
      </c>
      <c r="P737" s="36">
        <f t="shared" ca="1" si="77"/>
        <v>7062.2999999999993</v>
      </c>
      <c r="Q737" s="36">
        <f t="shared" ca="1" si="80"/>
        <v>7062.2999999999993</v>
      </c>
      <c r="R737" s="53" t="s">
        <v>5728</v>
      </c>
    </row>
    <row r="738" spans="2:18" s="4" customFormat="1" ht="51" customHeight="1" x14ac:dyDescent="0.25">
      <c r="B738" s="24">
        <v>45323</v>
      </c>
      <c r="C738" s="24">
        <v>45469</v>
      </c>
      <c r="D738" s="56" t="s">
        <v>5623</v>
      </c>
      <c r="E738" s="26" t="s">
        <v>5672</v>
      </c>
      <c r="F738" s="53" t="s">
        <v>5680</v>
      </c>
      <c r="G738" s="925" t="s">
        <v>5696</v>
      </c>
      <c r="H738" s="53" t="s">
        <v>5836</v>
      </c>
      <c r="I738" s="53" t="s">
        <v>19</v>
      </c>
      <c r="J738" s="791">
        <v>10089</v>
      </c>
      <c r="K738" s="53">
        <v>58.6736</v>
      </c>
      <c r="L738" s="59">
        <f t="shared" si="81"/>
        <v>171.95126939543508</v>
      </c>
      <c r="M738" s="53">
        <v>60</v>
      </c>
      <c r="N738" s="57">
        <f t="shared" si="78"/>
        <v>168.15</v>
      </c>
      <c r="O738" s="38">
        <f t="shared" ca="1" si="79"/>
        <v>18</v>
      </c>
      <c r="P738" s="36">
        <f t="shared" ca="1" si="77"/>
        <v>7062.2999999999993</v>
      </c>
      <c r="Q738" s="36">
        <f t="shared" ca="1" si="80"/>
        <v>7062.2999999999993</v>
      </c>
      <c r="R738" s="53" t="s">
        <v>5728</v>
      </c>
    </row>
    <row r="739" spans="2:18" s="4" customFormat="1" ht="51" customHeight="1" x14ac:dyDescent="0.25">
      <c r="B739" s="24">
        <v>45323</v>
      </c>
      <c r="C739" s="24">
        <v>45469</v>
      </c>
      <c r="D739" s="56" t="s">
        <v>5623</v>
      </c>
      <c r="E739" s="26" t="s">
        <v>5673</v>
      </c>
      <c r="F739" s="53" t="s">
        <v>5680</v>
      </c>
      <c r="G739" s="925" t="s">
        <v>5697</v>
      </c>
      <c r="H739" s="53" t="s">
        <v>5836</v>
      </c>
      <c r="I739" s="53" t="s">
        <v>19</v>
      </c>
      <c r="J739" s="791">
        <v>10089</v>
      </c>
      <c r="K739" s="53">
        <v>58.6736</v>
      </c>
      <c r="L739" s="59">
        <f t="shared" si="81"/>
        <v>171.95126939543508</v>
      </c>
      <c r="M739" s="53">
        <v>60</v>
      </c>
      <c r="N739" s="57">
        <f t="shared" si="78"/>
        <v>168.15</v>
      </c>
      <c r="O739" s="38">
        <f t="shared" ca="1" si="79"/>
        <v>18</v>
      </c>
      <c r="P739" s="36">
        <f t="shared" ca="1" si="77"/>
        <v>7062.2999999999993</v>
      </c>
      <c r="Q739" s="36">
        <f t="shared" ca="1" si="80"/>
        <v>7062.2999999999993</v>
      </c>
      <c r="R739" s="53" t="s">
        <v>5728</v>
      </c>
    </row>
    <row r="740" spans="2:18" s="4" customFormat="1" ht="51" customHeight="1" x14ac:dyDescent="0.25">
      <c r="B740" s="24">
        <v>45323</v>
      </c>
      <c r="C740" s="24">
        <v>45469</v>
      </c>
      <c r="D740" s="56" t="s">
        <v>5623</v>
      </c>
      <c r="E740" s="26" t="s">
        <v>5674</v>
      </c>
      <c r="F740" s="53" t="s">
        <v>5680</v>
      </c>
      <c r="G740" s="925" t="s">
        <v>5698</v>
      </c>
      <c r="H740" s="53" t="s">
        <v>5836</v>
      </c>
      <c r="I740" s="53" t="s">
        <v>19</v>
      </c>
      <c r="J740" s="791">
        <v>10089</v>
      </c>
      <c r="K740" s="53">
        <v>58.6736</v>
      </c>
      <c r="L740" s="59">
        <f t="shared" si="81"/>
        <v>171.95126939543508</v>
      </c>
      <c r="M740" s="53">
        <v>60</v>
      </c>
      <c r="N740" s="57">
        <f t="shared" si="78"/>
        <v>168.15</v>
      </c>
      <c r="O740" s="38">
        <f t="shared" ca="1" si="79"/>
        <v>18</v>
      </c>
      <c r="P740" s="36">
        <f t="shared" ca="1" si="77"/>
        <v>7062.2999999999993</v>
      </c>
      <c r="Q740" s="36">
        <f t="shared" ca="1" si="80"/>
        <v>7062.2999999999993</v>
      </c>
      <c r="R740" s="53" t="s">
        <v>5728</v>
      </c>
    </row>
    <row r="741" spans="2:18" s="4" customFormat="1" ht="51" customHeight="1" x14ac:dyDescent="0.25">
      <c r="B741" s="24">
        <v>45323</v>
      </c>
      <c r="C741" s="24">
        <v>45469</v>
      </c>
      <c r="D741" s="56" t="s">
        <v>5623</v>
      </c>
      <c r="E741" s="26" t="s">
        <v>5675</v>
      </c>
      <c r="F741" s="53" t="s">
        <v>5680</v>
      </c>
      <c r="G741" s="925" t="s">
        <v>5699</v>
      </c>
      <c r="H741" s="53" t="s">
        <v>5836</v>
      </c>
      <c r="I741" s="53" t="s">
        <v>19</v>
      </c>
      <c r="J741" s="791">
        <v>10089</v>
      </c>
      <c r="K741" s="53">
        <v>58.6736</v>
      </c>
      <c r="L741" s="59">
        <f t="shared" si="81"/>
        <v>171.95126939543508</v>
      </c>
      <c r="M741" s="53">
        <v>60</v>
      </c>
      <c r="N741" s="57">
        <f t="shared" si="78"/>
        <v>168.15</v>
      </c>
      <c r="O741" s="38">
        <f t="shared" ca="1" si="79"/>
        <v>18</v>
      </c>
      <c r="P741" s="36">
        <f t="shared" ca="1" si="77"/>
        <v>7062.2999999999993</v>
      </c>
      <c r="Q741" s="36">
        <f t="shared" ca="1" si="80"/>
        <v>7062.2999999999993</v>
      </c>
      <c r="R741" s="53" t="s">
        <v>5728</v>
      </c>
    </row>
    <row r="742" spans="2:18" s="4" customFormat="1" ht="51" customHeight="1" x14ac:dyDescent="0.25">
      <c r="B742" s="24">
        <v>45323</v>
      </c>
      <c r="C742" s="24">
        <v>45469</v>
      </c>
      <c r="D742" s="56" t="s">
        <v>5623</v>
      </c>
      <c r="E742" s="26" t="s">
        <v>5676</v>
      </c>
      <c r="F742" s="53" t="s">
        <v>5680</v>
      </c>
      <c r="G742" s="925" t="s">
        <v>5700</v>
      </c>
      <c r="H742" s="53" t="s">
        <v>5836</v>
      </c>
      <c r="I742" s="53" t="s">
        <v>19</v>
      </c>
      <c r="J742" s="791">
        <v>10089</v>
      </c>
      <c r="K742" s="53">
        <v>58.6736</v>
      </c>
      <c r="L742" s="59">
        <f t="shared" si="81"/>
        <v>171.95126939543508</v>
      </c>
      <c r="M742" s="53">
        <v>60</v>
      </c>
      <c r="N742" s="57">
        <f t="shared" si="78"/>
        <v>168.15</v>
      </c>
      <c r="O742" s="38">
        <f t="shared" ca="1" si="79"/>
        <v>18</v>
      </c>
      <c r="P742" s="36">
        <f t="shared" ca="1" si="77"/>
        <v>7062.2999999999993</v>
      </c>
      <c r="Q742" s="36">
        <f t="shared" ca="1" si="80"/>
        <v>7062.2999999999993</v>
      </c>
      <c r="R742" s="53" t="s">
        <v>5728</v>
      </c>
    </row>
    <row r="743" spans="2:18" s="4" customFormat="1" ht="51" customHeight="1" x14ac:dyDescent="0.25">
      <c r="B743" s="24">
        <v>45323</v>
      </c>
      <c r="C743" s="24">
        <v>45469</v>
      </c>
      <c r="D743" s="56" t="s">
        <v>5623</v>
      </c>
      <c r="E743" s="26" t="s">
        <v>5677</v>
      </c>
      <c r="F743" s="53" t="s">
        <v>5680</v>
      </c>
      <c r="G743" s="925" t="s">
        <v>5701</v>
      </c>
      <c r="H743" s="53" t="s">
        <v>5836</v>
      </c>
      <c r="I743" s="53" t="s">
        <v>19</v>
      </c>
      <c r="J743" s="791">
        <v>10089</v>
      </c>
      <c r="K743" s="53">
        <v>58.6736</v>
      </c>
      <c r="L743" s="59">
        <f t="shared" si="81"/>
        <v>171.95126939543508</v>
      </c>
      <c r="M743" s="53">
        <v>60</v>
      </c>
      <c r="N743" s="57">
        <f t="shared" si="78"/>
        <v>168.15</v>
      </c>
      <c r="O743" s="38">
        <f t="shared" ca="1" si="79"/>
        <v>18</v>
      </c>
      <c r="P743" s="36">
        <f t="shared" ca="1" si="77"/>
        <v>7062.2999999999993</v>
      </c>
      <c r="Q743" s="36">
        <f t="shared" ca="1" si="80"/>
        <v>7062.2999999999993</v>
      </c>
      <c r="R743" s="53" t="s">
        <v>5728</v>
      </c>
    </row>
    <row r="744" spans="2:18" s="4" customFormat="1" ht="51" customHeight="1" x14ac:dyDescent="0.25">
      <c r="B744" s="24">
        <v>45344</v>
      </c>
      <c r="C744" s="24"/>
      <c r="D744" s="56" t="s">
        <v>4973</v>
      </c>
      <c r="E744" s="26" t="s">
        <v>4974</v>
      </c>
      <c r="F744" s="53" t="s">
        <v>5520</v>
      </c>
      <c r="G744" s="56" t="s">
        <v>4975</v>
      </c>
      <c r="H744" s="26" t="s">
        <v>5517</v>
      </c>
      <c r="I744" s="53" t="s">
        <v>19</v>
      </c>
      <c r="J744" s="791">
        <v>27450.01</v>
      </c>
      <c r="K744" s="53">
        <v>58.647100000000002</v>
      </c>
      <c r="L744" s="59">
        <f t="shared" si="81"/>
        <v>468.05400437532285</v>
      </c>
      <c r="M744" s="53">
        <v>60</v>
      </c>
      <c r="N744" s="57">
        <f t="shared" si="78"/>
        <v>457.50016666666664</v>
      </c>
      <c r="O744" s="38">
        <f t="shared" ca="1" si="79"/>
        <v>17</v>
      </c>
      <c r="P744" s="36">
        <f t="shared" ca="1" si="77"/>
        <v>19672.507166666666</v>
      </c>
      <c r="Q744" s="36">
        <f t="shared" ca="1" si="80"/>
        <v>19672.507166666666</v>
      </c>
      <c r="R744" s="53" t="s">
        <v>4976</v>
      </c>
    </row>
    <row r="745" spans="2:18" s="4" customFormat="1" ht="51" customHeight="1" x14ac:dyDescent="0.25">
      <c r="B745" s="24">
        <v>45367</v>
      </c>
      <c r="C745" s="24">
        <v>45418</v>
      </c>
      <c r="D745" s="56" t="s">
        <v>4894</v>
      </c>
      <c r="E745" s="26" t="s">
        <v>4883</v>
      </c>
      <c r="F745" s="53" t="s">
        <v>4896</v>
      </c>
      <c r="G745" s="56" t="s">
        <v>28</v>
      </c>
      <c r="H745" s="53" t="s">
        <v>4353</v>
      </c>
      <c r="I745" s="53" t="s">
        <v>19</v>
      </c>
      <c r="J745" s="791">
        <v>5192</v>
      </c>
      <c r="K745" s="53">
        <v>58.481400000000001</v>
      </c>
      <c r="L745" s="59">
        <f t="shared" si="81"/>
        <v>88.78036435516249</v>
      </c>
      <c r="M745" s="53">
        <v>60</v>
      </c>
      <c r="N745" s="57">
        <f t="shared" si="78"/>
        <v>86.533333333333331</v>
      </c>
      <c r="O745" s="38">
        <f t="shared" ca="1" si="79"/>
        <v>16</v>
      </c>
      <c r="P745" s="36">
        <f t="shared" ca="1" si="77"/>
        <v>3807.4666666666667</v>
      </c>
      <c r="Q745" s="36">
        <f t="shared" ca="1" si="80"/>
        <v>3807.4666666666667</v>
      </c>
      <c r="R745" s="53" t="s">
        <v>30</v>
      </c>
    </row>
    <row r="746" spans="2:18" s="4" customFormat="1" ht="51" customHeight="1" x14ac:dyDescent="0.25">
      <c r="B746" s="24">
        <v>45367</v>
      </c>
      <c r="C746" s="24">
        <v>45418</v>
      </c>
      <c r="D746" s="56" t="s">
        <v>4894</v>
      </c>
      <c r="E746" s="26" t="s">
        <v>4884</v>
      </c>
      <c r="F746" s="53" t="s">
        <v>4897</v>
      </c>
      <c r="G746" s="56" t="s">
        <v>28</v>
      </c>
      <c r="H746" s="53" t="s">
        <v>4353</v>
      </c>
      <c r="I746" s="53" t="s">
        <v>19</v>
      </c>
      <c r="J746" s="791">
        <v>10755.7</v>
      </c>
      <c r="K746" s="53">
        <v>58.481400000000001</v>
      </c>
      <c r="L746" s="59">
        <f t="shared" si="81"/>
        <v>183.91659570393324</v>
      </c>
      <c r="M746" s="53">
        <v>60</v>
      </c>
      <c r="N746" s="57">
        <f t="shared" si="78"/>
        <v>179.26166666666668</v>
      </c>
      <c r="O746" s="38">
        <f t="shared" ca="1" si="79"/>
        <v>16</v>
      </c>
      <c r="P746" s="36">
        <f t="shared" ca="1" si="77"/>
        <v>7887.5133333333342</v>
      </c>
      <c r="Q746" s="36">
        <f t="shared" ca="1" si="80"/>
        <v>7887.5133333333342</v>
      </c>
      <c r="R746" s="53" t="s">
        <v>30</v>
      </c>
    </row>
    <row r="747" spans="2:18" s="4" customFormat="1" ht="51" customHeight="1" x14ac:dyDescent="0.25">
      <c r="B747" s="24">
        <v>45367</v>
      </c>
      <c r="C747" s="24">
        <v>45418</v>
      </c>
      <c r="D747" s="56" t="s">
        <v>4894</v>
      </c>
      <c r="E747" s="26" t="s">
        <v>4885</v>
      </c>
      <c r="F747" s="53" t="s">
        <v>4898</v>
      </c>
      <c r="G747" s="56" t="s">
        <v>28</v>
      </c>
      <c r="H747" s="53" t="s">
        <v>4353</v>
      </c>
      <c r="I747" s="53" t="s">
        <v>19</v>
      </c>
      <c r="J747" s="791">
        <v>731.6</v>
      </c>
      <c r="K747" s="53">
        <v>58.481400000000001</v>
      </c>
      <c r="L747" s="59">
        <f t="shared" si="81"/>
        <v>12.509960431863806</v>
      </c>
      <c r="M747" s="53">
        <v>60</v>
      </c>
      <c r="N747" s="57">
        <f t="shared" si="78"/>
        <v>12.193333333333333</v>
      </c>
      <c r="O747" s="38">
        <f t="shared" ca="1" si="79"/>
        <v>16</v>
      </c>
      <c r="P747" s="36">
        <f t="shared" ca="1" si="77"/>
        <v>536.50666666666666</v>
      </c>
      <c r="Q747" s="36">
        <f t="shared" ca="1" si="80"/>
        <v>536.50666666666666</v>
      </c>
      <c r="R747" s="53" t="s">
        <v>30</v>
      </c>
    </row>
    <row r="748" spans="2:18" s="4" customFormat="1" ht="51" customHeight="1" x14ac:dyDescent="0.25">
      <c r="B748" s="24">
        <v>45367</v>
      </c>
      <c r="C748" s="24">
        <v>45418</v>
      </c>
      <c r="D748" s="56" t="s">
        <v>4894</v>
      </c>
      <c r="E748" s="26" t="s">
        <v>4886</v>
      </c>
      <c r="F748" s="53" t="s">
        <v>4899</v>
      </c>
      <c r="G748" s="56" t="s">
        <v>28</v>
      </c>
      <c r="H748" s="53" t="s">
        <v>4961</v>
      </c>
      <c r="I748" s="53" t="s">
        <v>19</v>
      </c>
      <c r="J748" s="791">
        <v>5097.6000000000004</v>
      </c>
      <c r="K748" s="53">
        <v>58.481400000000001</v>
      </c>
      <c r="L748" s="59">
        <f t="shared" si="81"/>
        <v>87.166175912341359</v>
      </c>
      <c r="M748" s="53">
        <v>60</v>
      </c>
      <c r="N748" s="57">
        <f t="shared" si="78"/>
        <v>84.960000000000008</v>
      </c>
      <c r="O748" s="38">
        <f t="shared" ca="1" si="79"/>
        <v>16</v>
      </c>
      <c r="P748" s="36">
        <f t="shared" ca="1" si="77"/>
        <v>3738.2400000000002</v>
      </c>
      <c r="Q748" s="36">
        <f t="shared" ca="1" si="80"/>
        <v>3738.2400000000002</v>
      </c>
      <c r="R748" s="53" t="s">
        <v>30</v>
      </c>
    </row>
    <row r="749" spans="2:18" s="4" customFormat="1" ht="102" customHeight="1" x14ac:dyDescent="0.25">
      <c r="B749" s="24">
        <v>45367</v>
      </c>
      <c r="C749" s="24">
        <v>45418</v>
      </c>
      <c r="D749" s="56" t="s">
        <v>4894</v>
      </c>
      <c r="E749" s="26" t="s">
        <v>4887</v>
      </c>
      <c r="F749" s="53" t="s">
        <v>4904</v>
      </c>
      <c r="G749" s="56" t="s">
        <v>28</v>
      </c>
      <c r="H749" s="53" t="s">
        <v>4353</v>
      </c>
      <c r="I749" s="53" t="s">
        <v>19</v>
      </c>
      <c r="J749" s="791">
        <v>29576.7</v>
      </c>
      <c r="K749" s="53">
        <v>58.481400000000001</v>
      </c>
      <c r="L749" s="59">
        <f t="shared" si="81"/>
        <v>505.74541649139729</v>
      </c>
      <c r="M749" s="53">
        <v>60</v>
      </c>
      <c r="N749" s="57">
        <f t="shared" si="78"/>
        <v>492.94499999999999</v>
      </c>
      <c r="O749" s="38">
        <f t="shared" ca="1" si="79"/>
        <v>16</v>
      </c>
      <c r="P749" s="36">
        <f t="shared" ca="1" si="77"/>
        <v>21689.58</v>
      </c>
      <c r="Q749" s="36">
        <f t="shared" ca="1" si="80"/>
        <v>21689.58</v>
      </c>
      <c r="R749" s="53" t="s">
        <v>30</v>
      </c>
    </row>
    <row r="750" spans="2:18" s="4" customFormat="1" ht="80.25" customHeight="1" x14ac:dyDescent="0.2">
      <c r="B750" s="24">
        <v>45367</v>
      </c>
      <c r="C750" s="24">
        <v>45418</v>
      </c>
      <c r="D750" s="56" t="s">
        <v>4894</v>
      </c>
      <c r="E750" s="26" t="s">
        <v>4888</v>
      </c>
      <c r="F750" s="486" t="s">
        <v>4900</v>
      </c>
      <c r="G750" s="56" t="s">
        <v>28</v>
      </c>
      <c r="H750" s="53" t="s">
        <v>4353</v>
      </c>
      <c r="I750" s="53" t="s">
        <v>19</v>
      </c>
      <c r="J750" s="791">
        <v>495.6</v>
      </c>
      <c r="K750" s="53">
        <v>58.481400000000001</v>
      </c>
      <c r="L750" s="59">
        <f t="shared" si="81"/>
        <v>8.4744893248109658</v>
      </c>
      <c r="M750" s="53">
        <v>60</v>
      </c>
      <c r="N750" s="57">
        <f t="shared" si="78"/>
        <v>8.26</v>
      </c>
      <c r="O750" s="38">
        <f t="shared" ca="1" si="79"/>
        <v>16</v>
      </c>
      <c r="P750" s="36">
        <f t="shared" ca="1" si="77"/>
        <v>363.44000000000005</v>
      </c>
      <c r="Q750" s="36">
        <f t="shared" ca="1" si="80"/>
        <v>363.44000000000005</v>
      </c>
      <c r="R750" s="53" t="s">
        <v>30</v>
      </c>
    </row>
    <row r="751" spans="2:18" s="4" customFormat="1" ht="100.5" customHeight="1" x14ac:dyDescent="0.25">
      <c r="B751" s="24">
        <v>45367</v>
      </c>
      <c r="C751" s="24">
        <v>45418</v>
      </c>
      <c r="D751" s="56" t="s">
        <v>4894</v>
      </c>
      <c r="E751" s="26" t="s">
        <v>4889</v>
      </c>
      <c r="F751" s="53" t="s">
        <v>4901</v>
      </c>
      <c r="G751" s="56" t="s">
        <v>28</v>
      </c>
      <c r="H751" s="53" t="s">
        <v>4959</v>
      </c>
      <c r="I751" s="53" t="s">
        <v>19</v>
      </c>
      <c r="J751" s="791">
        <v>17841.599999999999</v>
      </c>
      <c r="K751" s="53">
        <v>58.481400000000001</v>
      </c>
      <c r="L751" s="59">
        <f t="shared" si="81"/>
        <v>305.08161569319475</v>
      </c>
      <c r="M751" s="53">
        <v>60</v>
      </c>
      <c r="N751" s="57">
        <f t="shared" si="78"/>
        <v>297.35999999999996</v>
      </c>
      <c r="O751" s="38">
        <f t="shared" ca="1" si="79"/>
        <v>16</v>
      </c>
      <c r="P751" s="36">
        <f t="shared" ca="1" si="77"/>
        <v>13083.84</v>
      </c>
      <c r="Q751" s="36">
        <f t="shared" ca="1" si="80"/>
        <v>13083.84</v>
      </c>
      <c r="R751" s="53" t="s">
        <v>30</v>
      </c>
    </row>
    <row r="752" spans="2:18" s="4" customFormat="1" ht="51" customHeight="1" x14ac:dyDescent="0.25">
      <c r="B752" s="24">
        <v>45367</v>
      </c>
      <c r="C752" s="24">
        <v>45418</v>
      </c>
      <c r="D752" s="56" t="s">
        <v>4894</v>
      </c>
      <c r="E752" s="26" t="s">
        <v>4890</v>
      </c>
      <c r="F752" s="53" t="s">
        <v>4902</v>
      </c>
      <c r="G752" s="56" t="s">
        <v>28</v>
      </c>
      <c r="H752" s="53" t="s">
        <v>4905</v>
      </c>
      <c r="I752" s="53" t="s">
        <v>19</v>
      </c>
      <c r="J752" s="791">
        <v>7581.5</v>
      </c>
      <c r="K752" s="53">
        <v>58.481400000000001</v>
      </c>
      <c r="L752" s="59">
        <f t="shared" si="81"/>
        <v>129.63950931407251</v>
      </c>
      <c r="M752" s="53">
        <v>60</v>
      </c>
      <c r="N752" s="57">
        <f t="shared" si="78"/>
        <v>126.35833333333333</v>
      </c>
      <c r="O752" s="38">
        <f t="shared" ca="1" si="79"/>
        <v>16</v>
      </c>
      <c r="P752" s="36">
        <f t="shared" ca="1" si="77"/>
        <v>5559.7666666666664</v>
      </c>
      <c r="Q752" s="36">
        <f t="shared" ca="1" si="80"/>
        <v>5559.7666666666664</v>
      </c>
      <c r="R752" s="53" t="s">
        <v>30</v>
      </c>
    </row>
    <row r="753" spans="2:18" s="4" customFormat="1" ht="51" customHeight="1" x14ac:dyDescent="0.25">
      <c r="B753" s="24">
        <v>45367</v>
      </c>
      <c r="C753" s="24">
        <v>45418</v>
      </c>
      <c r="D753" s="56" t="s">
        <v>4894</v>
      </c>
      <c r="E753" s="26" t="s">
        <v>4891</v>
      </c>
      <c r="F753" s="53" t="s">
        <v>4902</v>
      </c>
      <c r="G753" s="56" t="s">
        <v>28</v>
      </c>
      <c r="H753" s="53" t="s">
        <v>4906</v>
      </c>
      <c r="I753" s="53" t="s">
        <v>19</v>
      </c>
      <c r="J753" s="791">
        <v>7581.5</v>
      </c>
      <c r="K753" s="53">
        <v>58.481400000000001</v>
      </c>
      <c r="L753" s="59">
        <f t="shared" si="81"/>
        <v>129.63950931407251</v>
      </c>
      <c r="M753" s="53">
        <v>60</v>
      </c>
      <c r="N753" s="57">
        <f t="shared" si="78"/>
        <v>126.35833333333333</v>
      </c>
      <c r="O753" s="38">
        <f t="shared" ca="1" si="79"/>
        <v>16</v>
      </c>
      <c r="P753" s="36">
        <f t="shared" ca="1" si="77"/>
        <v>5559.7666666666664</v>
      </c>
      <c r="Q753" s="36">
        <f t="shared" ca="1" si="80"/>
        <v>5559.7666666666664</v>
      </c>
      <c r="R753" s="53" t="s">
        <v>30</v>
      </c>
    </row>
    <row r="754" spans="2:18" s="4" customFormat="1" ht="51" customHeight="1" x14ac:dyDescent="0.25">
      <c r="B754" s="24">
        <v>45367</v>
      </c>
      <c r="C754" s="24">
        <v>45418</v>
      </c>
      <c r="D754" s="56" t="s">
        <v>4894</v>
      </c>
      <c r="E754" s="26" t="s">
        <v>4892</v>
      </c>
      <c r="F754" s="53" t="s">
        <v>4902</v>
      </c>
      <c r="G754" s="56" t="s">
        <v>28</v>
      </c>
      <c r="H754" s="53" t="s">
        <v>4907</v>
      </c>
      <c r="I754" s="53" t="s">
        <v>19</v>
      </c>
      <c r="J754" s="791">
        <v>7581.5</v>
      </c>
      <c r="K754" s="53">
        <v>58.481400000000001</v>
      </c>
      <c r="L754" s="59">
        <f t="shared" si="81"/>
        <v>129.63950931407251</v>
      </c>
      <c r="M754" s="53">
        <v>60</v>
      </c>
      <c r="N754" s="57">
        <f t="shared" si="78"/>
        <v>126.35833333333333</v>
      </c>
      <c r="O754" s="38">
        <f t="shared" ca="1" si="79"/>
        <v>16</v>
      </c>
      <c r="P754" s="36">
        <f t="shared" ca="1" si="77"/>
        <v>5559.7666666666664</v>
      </c>
      <c r="Q754" s="36">
        <f t="shared" ca="1" si="80"/>
        <v>5559.7666666666664</v>
      </c>
      <c r="R754" s="53" t="s">
        <v>30</v>
      </c>
    </row>
    <row r="755" spans="2:18" s="4" customFormat="1" ht="51" customHeight="1" x14ac:dyDescent="0.25">
      <c r="B755" s="24">
        <v>45367</v>
      </c>
      <c r="C755" s="24">
        <v>45418</v>
      </c>
      <c r="D755" s="56" t="s">
        <v>4894</v>
      </c>
      <c r="E755" s="26" t="s">
        <v>4893</v>
      </c>
      <c r="F755" s="53" t="s">
        <v>4902</v>
      </c>
      <c r="G755" s="56" t="s">
        <v>28</v>
      </c>
      <c r="H755" s="53" t="s">
        <v>4908</v>
      </c>
      <c r="I755" s="53" t="s">
        <v>19</v>
      </c>
      <c r="J755" s="791">
        <v>7581.5</v>
      </c>
      <c r="K755" s="53">
        <v>58.481400000000001</v>
      </c>
      <c r="L755" s="59">
        <f t="shared" si="81"/>
        <v>129.63950931407251</v>
      </c>
      <c r="M755" s="53">
        <v>60</v>
      </c>
      <c r="N755" s="57">
        <f t="shared" si="78"/>
        <v>126.35833333333333</v>
      </c>
      <c r="O755" s="38">
        <f t="shared" ca="1" si="79"/>
        <v>16</v>
      </c>
      <c r="P755" s="36">
        <f t="shared" ca="1" si="77"/>
        <v>5559.7666666666664</v>
      </c>
      <c r="Q755" s="36">
        <f t="shared" ca="1" si="80"/>
        <v>5559.7666666666664</v>
      </c>
      <c r="R755" s="53" t="s">
        <v>30</v>
      </c>
    </row>
    <row r="756" spans="2:18" s="4" customFormat="1" ht="51" customHeight="1" x14ac:dyDescent="0.25">
      <c r="B756" s="24">
        <v>45367</v>
      </c>
      <c r="C756" s="24">
        <v>45418</v>
      </c>
      <c r="D756" s="56" t="s">
        <v>4894</v>
      </c>
      <c r="E756" s="26" t="s">
        <v>4903</v>
      </c>
      <c r="F756" s="53" t="s">
        <v>4902</v>
      </c>
      <c r="G756" s="56" t="s">
        <v>28</v>
      </c>
      <c r="H756" s="53" t="s">
        <v>4909</v>
      </c>
      <c r="I756" s="53" t="s">
        <v>19</v>
      </c>
      <c r="J756" s="791">
        <v>7581.5</v>
      </c>
      <c r="K756" s="53">
        <v>58.481400000000001</v>
      </c>
      <c r="L756" s="59">
        <f t="shared" si="81"/>
        <v>129.63950931407251</v>
      </c>
      <c r="M756" s="53">
        <v>60</v>
      </c>
      <c r="N756" s="57">
        <f t="shared" si="78"/>
        <v>126.35833333333333</v>
      </c>
      <c r="O756" s="38">
        <f t="shared" ca="1" si="79"/>
        <v>16</v>
      </c>
      <c r="P756" s="36">
        <f t="shared" ca="1" si="77"/>
        <v>5559.7666666666664</v>
      </c>
      <c r="Q756" s="36">
        <f t="shared" ca="1" si="80"/>
        <v>5559.7666666666664</v>
      </c>
      <c r="R756" s="53" t="s">
        <v>30</v>
      </c>
    </row>
    <row r="757" spans="2:18" s="4" customFormat="1" ht="68.25" customHeight="1" x14ac:dyDescent="0.25">
      <c r="B757" s="839">
        <v>45359</v>
      </c>
      <c r="C757" s="839" t="s">
        <v>6483</v>
      </c>
      <c r="D757" s="56" t="s">
        <v>5782</v>
      </c>
      <c r="E757" s="29" t="s">
        <v>6485</v>
      </c>
      <c r="F757" s="56" t="s">
        <v>5783</v>
      </c>
      <c r="G757" s="56" t="s">
        <v>5784</v>
      </c>
      <c r="H757" s="56" t="s">
        <v>2411</v>
      </c>
      <c r="I757" s="56" t="s">
        <v>19</v>
      </c>
      <c r="J757" s="56">
        <v>90309.34</v>
      </c>
      <c r="K757" s="56">
        <v>56.830500000000001</v>
      </c>
      <c r="L757" s="60">
        <f t="shared" si="81"/>
        <v>1589.0998671488021</v>
      </c>
      <c r="M757" s="56">
        <v>60</v>
      </c>
      <c r="N757" s="61">
        <f t="shared" si="78"/>
        <v>1505.1556666666665</v>
      </c>
      <c r="O757" s="42">
        <f t="shared" ca="1" si="79"/>
        <v>16</v>
      </c>
      <c r="P757" s="43">
        <f t="shared" ca="1" si="77"/>
        <v>66226.849333333332</v>
      </c>
      <c r="Q757" s="43">
        <f t="shared" ca="1" si="80"/>
        <v>66226.849333333332</v>
      </c>
      <c r="R757" s="56" t="s">
        <v>5788</v>
      </c>
    </row>
    <row r="758" spans="2:18" s="4" customFormat="1" ht="67.5" customHeight="1" x14ac:dyDescent="0.25">
      <c r="B758" s="839">
        <v>45360</v>
      </c>
      <c r="C758" s="839" t="s">
        <v>6483</v>
      </c>
      <c r="D758" s="56" t="s">
        <v>5782</v>
      </c>
      <c r="E758" s="29" t="s">
        <v>6486</v>
      </c>
      <c r="F758" s="56" t="s">
        <v>5783</v>
      </c>
      <c r="G758" s="56" t="s">
        <v>5785</v>
      </c>
      <c r="H758" s="56" t="s">
        <v>2411</v>
      </c>
      <c r="I758" s="56" t="s">
        <v>19</v>
      </c>
      <c r="J758" s="56">
        <v>90309.34</v>
      </c>
      <c r="K758" s="56">
        <v>56.830500000000001</v>
      </c>
      <c r="L758" s="60">
        <f t="shared" si="81"/>
        <v>1589.0998671488021</v>
      </c>
      <c r="M758" s="56">
        <v>60</v>
      </c>
      <c r="N758" s="61">
        <f t="shared" ref="N758:N819" si="82">J758/M758</f>
        <v>1505.1556666666665</v>
      </c>
      <c r="O758" s="42">
        <f t="shared" ca="1" si="79"/>
        <v>16</v>
      </c>
      <c r="P758" s="43">
        <f t="shared" ref="P758:P819" ca="1" si="83">IF(OR(J758=0,M758=0,O758=0),0,J758-(N758*O758))</f>
        <v>66226.849333333332</v>
      </c>
      <c r="Q758" s="43">
        <f t="shared" ref="Q758:Q819" ca="1" si="84">IF(P758&lt;1,1,P758)</f>
        <v>66226.849333333332</v>
      </c>
      <c r="R758" s="56" t="s">
        <v>5788</v>
      </c>
    </row>
    <row r="759" spans="2:18" s="4" customFormat="1" ht="51" customHeight="1" x14ac:dyDescent="0.25">
      <c r="B759" s="839">
        <v>45361</v>
      </c>
      <c r="C759" s="839" t="s">
        <v>6483</v>
      </c>
      <c r="D759" s="56" t="s">
        <v>5782</v>
      </c>
      <c r="E759" s="29" t="s">
        <v>6487</v>
      </c>
      <c r="F759" s="56" t="s">
        <v>5786</v>
      </c>
      <c r="G759" s="56" t="s">
        <v>5787</v>
      </c>
      <c r="H759" s="56" t="s">
        <v>2411</v>
      </c>
      <c r="I759" s="56" t="s">
        <v>19</v>
      </c>
      <c r="J759" s="56">
        <v>8901.85</v>
      </c>
      <c r="K759" s="56">
        <v>56.830500000000001</v>
      </c>
      <c r="L759" s="60">
        <f t="shared" si="81"/>
        <v>156.6386007513571</v>
      </c>
      <c r="M759" s="56">
        <v>60</v>
      </c>
      <c r="N759" s="61">
        <f t="shared" si="82"/>
        <v>148.36416666666668</v>
      </c>
      <c r="O759" s="42">
        <f t="shared" ca="1" si="79"/>
        <v>16</v>
      </c>
      <c r="P759" s="43">
        <f t="shared" ca="1" si="83"/>
        <v>6528.0233333333335</v>
      </c>
      <c r="Q759" s="43">
        <f t="shared" ca="1" si="84"/>
        <v>6528.0233333333335</v>
      </c>
      <c r="R759" s="56" t="s">
        <v>5788</v>
      </c>
    </row>
    <row r="760" spans="2:18" s="4" customFormat="1" ht="51" customHeight="1" x14ac:dyDescent="0.25">
      <c r="B760" s="839">
        <v>45362</v>
      </c>
      <c r="C760" s="839" t="s">
        <v>6483</v>
      </c>
      <c r="D760" s="56" t="s">
        <v>5782</v>
      </c>
      <c r="E760" s="838" t="s">
        <v>6488</v>
      </c>
      <c r="F760" s="56" t="s">
        <v>5786</v>
      </c>
      <c r="G760" s="56" t="s">
        <v>28</v>
      </c>
      <c r="H760" s="56" t="s">
        <v>2411</v>
      </c>
      <c r="I760" s="56" t="s">
        <v>19</v>
      </c>
      <c r="J760" s="56">
        <v>8901.85</v>
      </c>
      <c r="K760" s="56">
        <v>56.830500000000001</v>
      </c>
      <c r="L760" s="60">
        <f t="shared" ref="L760:L821" si="85">J760/K760</f>
        <v>156.6386007513571</v>
      </c>
      <c r="M760" s="56">
        <v>60</v>
      </c>
      <c r="N760" s="61">
        <f t="shared" si="82"/>
        <v>148.36416666666668</v>
      </c>
      <c r="O760" s="42">
        <f t="shared" ca="1" si="79"/>
        <v>16</v>
      </c>
      <c r="P760" s="43">
        <f t="shared" ca="1" si="83"/>
        <v>6528.0233333333335</v>
      </c>
      <c r="Q760" s="43">
        <f t="shared" ca="1" si="84"/>
        <v>6528.0233333333335</v>
      </c>
      <c r="R760" s="56" t="s">
        <v>5788</v>
      </c>
    </row>
    <row r="761" spans="2:18" s="4" customFormat="1" ht="51" customHeight="1" x14ac:dyDescent="0.25">
      <c r="B761" s="24">
        <v>45413</v>
      </c>
      <c r="C761" s="24">
        <v>45468</v>
      </c>
      <c r="D761" s="56" t="s">
        <v>5702</v>
      </c>
      <c r="E761" s="26" t="s">
        <v>5703</v>
      </c>
      <c r="F761" s="53" t="s">
        <v>5704</v>
      </c>
      <c r="G761" s="56" t="s">
        <v>28</v>
      </c>
      <c r="H761" s="53" t="s">
        <v>19</v>
      </c>
      <c r="I761" s="53" t="s">
        <v>19</v>
      </c>
      <c r="J761" s="791">
        <v>8024</v>
      </c>
      <c r="K761" s="53">
        <v>57.9236</v>
      </c>
      <c r="L761" s="59">
        <f t="shared" si="85"/>
        <v>138.52730147988041</v>
      </c>
      <c r="M761" s="53">
        <v>60</v>
      </c>
      <c r="N761" s="57">
        <f t="shared" si="82"/>
        <v>133.73333333333332</v>
      </c>
      <c r="O761" s="38">
        <f t="shared" ca="1" si="79"/>
        <v>15</v>
      </c>
      <c r="P761" s="36">
        <f t="shared" ca="1" si="83"/>
        <v>6018</v>
      </c>
      <c r="Q761" s="36">
        <f t="shared" ca="1" si="84"/>
        <v>6018</v>
      </c>
      <c r="R761" s="25" t="s">
        <v>5729</v>
      </c>
    </row>
    <row r="762" spans="2:18" s="4" customFormat="1" ht="51" customHeight="1" x14ac:dyDescent="0.25">
      <c r="B762" s="24">
        <v>45413</v>
      </c>
      <c r="C762" s="24">
        <v>45468</v>
      </c>
      <c r="D762" s="56" t="s">
        <v>5702</v>
      </c>
      <c r="E762" s="26" t="s">
        <v>5709</v>
      </c>
      <c r="F762" s="53" t="s">
        <v>5704</v>
      </c>
      <c r="G762" s="56" t="s">
        <v>28</v>
      </c>
      <c r="H762" s="53" t="s">
        <v>19</v>
      </c>
      <c r="I762" s="53" t="s">
        <v>19</v>
      </c>
      <c r="J762" s="791">
        <v>8024</v>
      </c>
      <c r="K762" s="53">
        <v>57.9236</v>
      </c>
      <c r="L762" s="59">
        <f t="shared" si="85"/>
        <v>138.52730147988041</v>
      </c>
      <c r="M762" s="53">
        <v>60</v>
      </c>
      <c r="N762" s="57">
        <f t="shared" si="82"/>
        <v>133.73333333333332</v>
      </c>
      <c r="O762" s="38">
        <f t="shared" ref="O762:O823" ca="1" si="86">IF(B762&lt;&gt;0,(ROUND((NOW()-B762)/30,0)),0)</f>
        <v>15</v>
      </c>
      <c r="P762" s="36">
        <f t="shared" ca="1" si="83"/>
        <v>6018</v>
      </c>
      <c r="Q762" s="36">
        <f t="shared" ca="1" si="84"/>
        <v>6018</v>
      </c>
      <c r="R762" s="25" t="s">
        <v>5729</v>
      </c>
    </row>
    <row r="763" spans="2:18" s="4" customFormat="1" ht="51" customHeight="1" x14ac:dyDescent="0.25">
      <c r="B763" s="24">
        <v>45413</v>
      </c>
      <c r="C763" s="24">
        <v>45468</v>
      </c>
      <c r="D763" s="56" t="s">
        <v>5702</v>
      </c>
      <c r="E763" s="26" t="s">
        <v>5710</v>
      </c>
      <c r="F763" s="53" t="s">
        <v>5704</v>
      </c>
      <c r="G763" s="56" t="s">
        <v>28</v>
      </c>
      <c r="H763" s="53" t="s">
        <v>19</v>
      </c>
      <c r="I763" s="53" t="s">
        <v>19</v>
      </c>
      <c r="J763" s="791">
        <v>8024</v>
      </c>
      <c r="K763" s="53">
        <v>57.9236</v>
      </c>
      <c r="L763" s="59">
        <f t="shared" si="85"/>
        <v>138.52730147988041</v>
      </c>
      <c r="M763" s="53">
        <v>60</v>
      </c>
      <c r="N763" s="57">
        <f t="shared" si="82"/>
        <v>133.73333333333332</v>
      </c>
      <c r="O763" s="38">
        <f t="shared" ca="1" si="86"/>
        <v>15</v>
      </c>
      <c r="P763" s="36">
        <f t="shared" ca="1" si="83"/>
        <v>6018</v>
      </c>
      <c r="Q763" s="36">
        <f t="shared" ca="1" si="84"/>
        <v>6018</v>
      </c>
      <c r="R763" s="25" t="s">
        <v>5729</v>
      </c>
    </row>
    <row r="764" spans="2:18" s="4" customFormat="1" ht="51" customHeight="1" x14ac:dyDescent="0.25">
      <c r="B764" s="24">
        <v>45413</v>
      </c>
      <c r="C764" s="24">
        <v>45468</v>
      </c>
      <c r="D764" s="56" t="s">
        <v>5702</v>
      </c>
      <c r="E764" s="26" t="s">
        <v>5711</v>
      </c>
      <c r="F764" s="53" t="s">
        <v>5704</v>
      </c>
      <c r="G764" s="56" t="s">
        <v>28</v>
      </c>
      <c r="H764" s="53" t="s">
        <v>19</v>
      </c>
      <c r="I764" s="53" t="s">
        <v>19</v>
      </c>
      <c r="J764" s="791">
        <v>8024</v>
      </c>
      <c r="K764" s="53">
        <v>57.9236</v>
      </c>
      <c r="L764" s="59">
        <f t="shared" si="85"/>
        <v>138.52730147988041</v>
      </c>
      <c r="M764" s="53">
        <v>60</v>
      </c>
      <c r="N764" s="57">
        <f t="shared" si="82"/>
        <v>133.73333333333332</v>
      </c>
      <c r="O764" s="38">
        <f t="shared" ca="1" si="86"/>
        <v>15</v>
      </c>
      <c r="P764" s="36">
        <f t="shared" ca="1" si="83"/>
        <v>6018</v>
      </c>
      <c r="Q764" s="36">
        <f t="shared" ca="1" si="84"/>
        <v>6018</v>
      </c>
      <c r="R764" s="25" t="s">
        <v>5729</v>
      </c>
    </row>
    <row r="765" spans="2:18" s="4" customFormat="1" ht="51" customHeight="1" x14ac:dyDescent="0.25">
      <c r="B765" s="24">
        <v>45413</v>
      </c>
      <c r="C765" s="24">
        <v>45468</v>
      </c>
      <c r="D765" s="56" t="s">
        <v>5702</v>
      </c>
      <c r="E765" s="26" t="s">
        <v>5712</v>
      </c>
      <c r="F765" s="53" t="s">
        <v>5704</v>
      </c>
      <c r="G765" s="56" t="s">
        <v>28</v>
      </c>
      <c r="H765" s="53" t="s">
        <v>19</v>
      </c>
      <c r="I765" s="53" t="s">
        <v>19</v>
      </c>
      <c r="J765" s="791">
        <v>8024</v>
      </c>
      <c r="K765" s="53">
        <v>57.9236</v>
      </c>
      <c r="L765" s="59">
        <f t="shared" si="85"/>
        <v>138.52730147988041</v>
      </c>
      <c r="M765" s="53">
        <v>60</v>
      </c>
      <c r="N765" s="57">
        <f t="shared" si="82"/>
        <v>133.73333333333332</v>
      </c>
      <c r="O765" s="38">
        <f t="shared" ca="1" si="86"/>
        <v>15</v>
      </c>
      <c r="P765" s="36">
        <f t="shared" ca="1" si="83"/>
        <v>6018</v>
      </c>
      <c r="Q765" s="36">
        <f t="shared" ca="1" si="84"/>
        <v>6018</v>
      </c>
      <c r="R765" s="25" t="s">
        <v>5729</v>
      </c>
    </row>
    <row r="766" spans="2:18" s="4" customFormat="1" ht="51" customHeight="1" x14ac:dyDescent="0.25">
      <c r="B766" s="24">
        <v>45413</v>
      </c>
      <c r="C766" s="24">
        <v>45468</v>
      </c>
      <c r="D766" s="56" t="s">
        <v>5702</v>
      </c>
      <c r="E766" s="26" t="s">
        <v>5713</v>
      </c>
      <c r="F766" s="53" t="s">
        <v>5704</v>
      </c>
      <c r="G766" s="56" t="s">
        <v>28</v>
      </c>
      <c r="H766" s="53" t="s">
        <v>19</v>
      </c>
      <c r="I766" s="53" t="s">
        <v>19</v>
      </c>
      <c r="J766" s="791">
        <v>8024</v>
      </c>
      <c r="K766" s="53">
        <v>57.9236</v>
      </c>
      <c r="L766" s="59">
        <f t="shared" si="85"/>
        <v>138.52730147988041</v>
      </c>
      <c r="M766" s="53">
        <v>60</v>
      </c>
      <c r="N766" s="57">
        <f t="shared" si="82"/>
        <v>133.73333333333332</v>
      </c>
      <c r="O766" s="38">
        <f t="shared" ca="1" si="86"/>
        <v>15</v>
      </c>
      <c r="P766" s="36">
        <f t="shared" ca="1" si="83"/>
        <v>6018</v>
      </c>
      <c r="Q766" s="36">
        <f t="shared" ca="1" si="84"/>
        <v>6018</v>
      </c>
      <c r="R766" s="25" t="s">
        <v>5729</v>
      </c>
    </row>
    <row r="767" spans="2:18" s="4" customFormat="1" ht="51" customHeight="1" x14ac:dyDescent="0.25">
      <c r="B767" s="24">
        <v>45413</v>
      </c>
      <c r="C767" s="24">
        <v>45468</v>
      </c>
      <c r="D767" s="56" t="s">
        <v>5702</v>
      </c>
      <c r="E767" s="26" t="s">
        <v>5714</v>
      </c>
      <c r="F767" s="53" t="s">
        <v>5704</v>
      </c>
      <c r="G767" s="56" t="s">
        <v>28</v>
      </c>
      <c r="H767" s="53" t="s">
        <v>19</v>
      </c>
      <c r="I767" s="53" t="s">
        <v>19</v>
      </c>
      <c r="J767" s="791">
        <v>8024</v>
      </c>
      <c r="K767" s="53">
        <v>57.9236</v>
      </c>
      <c r="L767" s="59">
        <f t="shared" si="85"/>
        <v>138.52730147988041</v>
      </c>
      <c r="M767" s="53">
        <v>60</v>
      </c>
      <c r="N767" s="57">
        <f t="shared" si="82"/>
        <v>133.73333333333332</v>
      </c>
      <c r="O767" s="38">
        <f t="shared" ca="1" si="86"/>
        <v>15</v>
      </c>
      <c r="P767" s="36">
        <f t="shared" ca="1" si="83"/>
        <v>6018</v>
      </c>
      <c r="Q767" s="36">
        <f t="shared" ca="1" si="84"/>
        <v>6018</v>
      </c>
      <c r="R767" s="25" t="s">
        <v>5729</v>
      </c>
    </row>
    <row r="768" spans="2:18" s="4" customFormat="1" ht="51" customHeight="1" x14ac:dyDescent="0.25">
      <c r="B768" s="24">
        <v>45413</v>
      </c>
      <c r="C768" s="24">
        <v>45468</v>
      </c>
      <c r="D768" s="56" t="s">
        <v>5702</v>
      </c>
      <c r="E768" s="26" t="s">
        <v>5715</v>
      </c>
      <c r="F768" s="53" t="s">
        <v>5704</v>
      </c>
      <c r="G768" s="56" t="s">
        <v>28</v>
      </c>
      <c r="H768" s="53" t="s">
        <v>19</v>
      </c>
      <c r="I768" s="53" t="s">
        <v>19</v>
      </c>
      <c r="J768" s="791">
        <v>8024</v>
      </c>
      <c r="K768" s="53">
        <v>57.9236</v>
      </c>
      <c r="L768" s="59">
        <f t="shared" si="85"/>
        <v>138.52730147988041</v>
      </c>
      <c r="M768" s="53">
        <v>60</v>
      </c>
      <c r="N768" s="57">
        <f t="shared" si="82"/>
        <v>133.73333333333332</v>
      </c>
      <c r="O768" s="38">
        <f t="shared" ca="1" si="86"/>
        <v>15</v>
      </c>
      <c r="P768" s="36">
        <f t="shared" ca="1" si="83"/>
        <v>6018</v>
      </c>
      <c r="Q768" s="36">
        <f t="shared" ca="1" si="84"/>
        <v>6018</v>
      </c>
      <c r="R768" s="25" t="s">
        <v>5729</v>
      </c>
    </row>
    <row r="769" spans="2:18" s="4" customFormat="1" ht="51" customHeight="1" x14ac:dyDescent="0.25">
      <c r="B769" s="24">
        <v>45413</v>
      </c>
      <c r="C769" s="24">
        <v>45468</v>
      </c>
      <c r="D769" s="56" t="s">
        <v>5702</v>
      </c>
      <c r="E769" s="26" t="s">
        <v>5716</v>
      </c>
      <c r="F769" s="53" t="s">
        <v>5704</v>
      </c>
      <c r="G769" s="56" t="s">
        <v>28</v>
      </c>
      <c r="H769" s="53" t="s">
        <v>19</v>
      </c>
      <c r="I769" s="53" t="s">
        <v>19</v>
      </c>
      <c r="J769" s="791">
        <v>8024</v>
      </c>
      <c r="K769" s="53">
        <v>57.9236</v>
      </c>
      <c r="L769" s="59">
        <f t="shared" si="85"/>
        <v>138.52730147988041</v>
      </c>
      <c r="M769" s="53">
        <v>60</v>
      </c>
      <c r="N769" s="57">
        <f t="shared" si="82"/>
        <v>133.73333333333332</v>
      </c>
      <c r="O769" s="38">
        <f t="shared" ca="1" si="86"/>
        <v>15</v>
      </c>
      <c r="P769" s="36">
        <f t="shared" ca="1" si="83"/>
        <v>6018</v>
      </c>
      <c r="Q769" s="36">
        <f t="shared" ca="1" si="84"/>
        <v>6018</v>
      </c>
      <c r="R769" s="25" t="s">
        <v>5729</v>
      </c>
    </row>
    <row r="770" spans="2:18" s="4" customFormat="1" ht="51" customHeight="1" x14ac:dyDescent="0.25">
      <c r="B770" s="24">
        <v>45413</v>
      </c>
      <c r="C770" s="24">
        <v>45468</v>
      </c>
      <c r="D770" s="56" t="s">
        <v>5702</v>
      </c>
      <c r="E770" s="26" t="s">
        <v>5717</v>
      </c>
      <c r="F770" s="53" t="s">
        <v>5704</v>
      </c>
      <c r="G770" s="56" t="s">
        <v>28</v>
      </c>
      <c r="H770" s="53" t="s">
        <v>19</v>
      </c>
      <c r="I770" s="53" t="s">
        <v>19</v>
      </c>
      <c r="J770" s="791">
        <v>8024</v>
      </c>
      <c r="K770" s="53">
        <v>57.9236</v>
      </c>
      <c r="L770" s="59">
        <f t="shared" si="85"/>
        <v>138.52730147988041</v>
      </c>
      <c r="M770" s="53">
        <v>60</v>
      </c>
      <c r="N770" s="57">
        <f t="shared" si="82"/>
        <v>133.73333333333332</v>
      </c>
      <c r="O770" s="38">
        <f t="shared" ca="1" si="86"/>
        <v>15</v>
      </c>
      <c r="P770" s="36">
        <f t="shared" ca="1" si="83"/>
        <v>6018</v>
      </c>
      <c r="Q770" s="36">
        <f t="shared" ca="1" si="84"/>
        <v>6018</v>
      </c>
      <c r="R770" s="25" t="s">
        <v>5729</v>
      </c>
    </row>
    <row r="771" spans="2:18" s="4" customFormat="1" ht="51" customHeight="1" x14ac:dyDescent="0.25">
      <c r="B771" s="24">
        <v>45413</v>
      </c>
      <c r="C771" s="24">
        <v>45468</v>
      </c>
      <c r="D771" s="56" t="s">
        <v>5702</v>
      </c>
      <c r="E771" s="26" t="s">
        <v>5718</v>
      </c>
      <c r="F771" s="53" t="s">
        <v>5704</v>
      </c>
      <c r="G771" s="56" t="s">
        <v>28</v>
      </c>
      <c r="H771" s="53" t="s">
        <v>19</v>
      </c>
      <c r="I771" s="53" t="s">
        <v>19</v>
      </c>
      <c r="J771" s="791">
        <v>8024</v>
      </c>
      <c r="K771" s="53">
        <v>57.9236</v>
      </c>
      <c r="L771" s="59">
        <f t="shared" si="85"/>
        <v>138.52730147988041</v>
      </c>
      <c r="M771" s="53">
        <v>60</v>
      </c>
      <c r="N771" s="57">
        <f t="shared" si="82"/>
        <v>133.73333333333332</v>
      </c>
      <c r="O771" s="38">
        <f t="shared" ca="1" si="86"/>
        <v>15</v>
      </c>
      <c r="P771" s="36">
        <f t="shared" ca="1" si="83"/>
        <v>6018</v>
      </c>
      <c r="Q771" s="36">
        <f t="shared" ca="1" si="84"/>
        <v>6018</v>
      </c>
      <c r="R771" s="25" t="s">
        <v>5729</v>
      </c>
    </row>
    <row r="772" spans="2:18" s="4" customFormat="1" ht="51" customHeight="1" x14ac:dyDescent="0.25">
      <c r="B772" s="24">
        <v>45413</v>
      </c>
      <c r="C772" s="24">
        <v>45468</v>
      </c>
      <c r="D772" s="56" t="s">
        <v>5702</v>
      </c>
      <c r="E772" s="26" t="s">
        <v>5719</v>
      </c>
      <c r="F772" s="53" t="s">
        <v>5705</v>
      </c>
      <c r="G772" s="56" t="s">
        <v>28</v>
      </c>
      <c r="H772" s="53" t="s">
        <v>19</v>
      </c>
      <c r="I772" s="53" t="s">
        <v>19</v>
      </c>
      <c r="J772" s="791">
        <v>8201</v>
      </c>
      <c r="K772" s="53">
        <v>57.9236</v>
      </c>
      <c r="L772" s="59">
        <f t="shared" si="85"/>
        <v>141.58305077723071</v>
      </c>
      <c r="M772" s="53">
        <v>60</v>
      </c>
      <c r="N772" s="57">
        <f t="shared" si="82"/>
        <v>136.68333333333334</v>
      </c>
      <c r="O772" s="38">
        <f t="shared" ca="1" si="86"/>
        <v>15</v>
      </c>
      <c r="P772" s="36">
        <f t="shared" ca="1" si="83"/>
        <v>6150.75</v>
      </c>
      <c r="Q772" s="36">
        <f t="shared" ca="1" si="84"/>
        <v>6150.75</v>
      </c>
      <c r="R772" s="25" t="s">
        <v>5729</v>
      </c>
    </row>
    <row r="773" spans="2:18" s="4" customFormat="1" ht="51" customHeight="1" x14ac:dyDescent="0.25">
      <c r="B773" s="24">
        <v>45413</v>
      </c>
      <c r="C773" s="24">
        <v>45468</v>
      </c>
      <c r="D773" s="56" t="s">
        <v>5702</v>
      </c>
      <c r="E773" s="26" t="s">
        <v>5720</v>
      </c>
      <c r="F773" s="53" t="s">
        <v>5705</v>
      </c>
      <c r="G773" s="56" t="s">
        <v>28</v>
      </c>
      <c r="H773" s="53" t="s">
        <v>19</v>
      </c>
      <c r="I773" s="53" t="s">
        <v>19</v>
      </c>
      <c r="J773" s="791">
        <v>8201</v>
      </c>
      <c r="K773" s="53">
        <v>57.9236</v>
      </c>
      <c r="L773" s="59">
        <f t="shared" si="85"/>
        <v>141.58305077723071</v>
      </c>
      <c r="M773" s="53">
        <v>60</v>
      </c>
      <c r="N773" s="57">
        <f t="shared" si="82"/>
        <v>136.68333333333334</v>
      </c>
      <c r="O773" s="38">
        <f t="shared" ca="1" si="86"/>
        <v>15</v>
      </c>
      <c r="P773" s="36">
        <f t="shared" ca="1" si="83"/>
        <v>6150.75</v>
      </c>
      <c r="Q773" s="36">
        <f t="shared" ca="1" si="84"/>
        <v>6150.75</v>
      </c>
      <c r="R773" s="25" t="s">
        <v>5729</v>
      </c>
    </row>
    <row r="774" spans="2:18" s="4" customFormat="1" ht="51" customHeight="1" x14ac:dyDescent="0.25">
      <c r="B774" s="24">
        <v>45413</v>
      </c>
      <c r="C774" s="24">
        <v>45468</v>
      </c>
      <c r="D774" s="56" t="s">
        <v>5702</v>
      </c>
      <c r="E774" s="26" t="s">
        <v>5721</v>
      </c>
      <c r="F774" s="53" t="s">
        <v>5705</v>
      </c>
      <c r="G774" s="56" t="s">
        <v>28</v>
      </c>
      <c r="H774" s="53" t="s">
        <v>19</v>
      </c>
      <c r="I774" s="53" t="s">
        <v>19</v>
      </c>
      <c r="J774" s="791">
        <v>8201</v>
      </c>
      <c r="K774" s="53">
        <v>57.9236</v>
      </c>
      <c r="L774" s="59">
        <f t="shared" si="85"/>
        <v>141.58305077723071</v>
      </c>
      <c r="M774" s="53">
        <v>60</v>
      </c>
      <c r="N774" s="57">
        <f t="shared" si="82"/>
        <v>136.68333333333334</v>
      </c>
      <c r="O774" s="38">
        <f t="shared" ca="1" si="86"/>
        <v>15</v>
      </c>
      <c r="P774" s="36">
        <f t="shared" ca="1" si="83"/>
        <v>6150.75</v>
      </c>
      <c r="Q774" s="36">
        <f t="shared" ca="1" si="84"/>
        <v>6150.75</v>
      </c>
      <c r="R774" s="25" t="s">
        <v>5729</v>
      </c>
    </row>
    <row r="775" spans="2:18" s="4" customFormat="1" ht="51" customHeight="1" x14ac:dyDescent="0.25">
      <c r="B775" s="24">
        <v>45413</v>
      </c>
      <c r="C775" s="24">
        <v>45468</v>
      </c>
      <c r="D775" s="56" t="s">
        <v>5702</v>
      </c>
      <c r="E775" s="26" t="s">
        <v>5722</v>
      </c>
      <c r="F775" s="53" t="s">
        <v>5705</v>
      </c>
      <c r="G775" s="56" t="s">
        <v>28</v>
      </c>
      <c r="H775" s="53" t="s">
        <v>19</v>
      </c>
      <c r="I775" s="53" t="s">
        <v>19</v>
      </c>
      <c r="J775" s="791">
        <v>8201</v>
      </c>
      <c r="K775" s="53">
        <v>57.9236</v>
      </c>
      <c r="L775" s="59">
        <f t="shared" si="85"/>
        <v>141.58305077723071</v>
      </c>
      <c r="M775" s="53">
        <v>60</v>
      </c>
      <c r="N775" s="57">
        <f t="shared" si="82"/>
        <v>136.68333333333334</v>
      </c>
      <c r="O775" s="38">
        <f t="shared" ca="1" si="86"/>
        <v>15</v>
      </c>
      <c r="P775" s="36">
        <f t="shared" ca="1" si="83"/>
        <v>6150.75</v>
      </c>
      <c r="Q775" s="36">
        <f t="shared" ca="1" si="84"/>
        <v>6150.75</v>
      </c>
      <c r="R775" s="25" t="s">
        <v>5729</v>
      </c>
    </row>
    <row r="776" spans="2:18" s="4" customFormat="1" ht="51" customHeight="1" x14ac:dyDescent="0.25">
      <c r="B776" s="24">
        <v>45413</v>
      </c>
      <c r="C776" s="24">
        <v>45468</v>
      </c>
      <c r="D776" s="56" t="s">
        <v>5702</v>
      </c>
      <c r="E776" s="26" t="s">
        <v>5723</v>
      </c>
      <c r="F776" s="53" t="s">
        <v>5705</v>
      </c>
      <c r="G776" s="56" t="s">
        <v>28</v>
      </c>
      <c r="H776" s="53" t="s">
        <v>19</v>
      </c>
      <c r="I776" s="53" t="s">
        <v>19</v>
      </c>
      <c r="J776" s="791">
        <v>8201</v>
      </c>
      <c r="K776" s="53">
        <v>57.9236</v>
      </c>
      <c r="L776" s="59">
        <f t="shared" si="85"/>
        <v>141.58305077723071</v>
      </c>
      <c r="M776" s="53">
        <v>60</v>
      </c>
      <c r="N776" s="57">
        <f t="shared" si="82"/>
        <v>136.68333333333334</v>
      </c>
      <c r="O776" s="38">
        <f t="shared" ca="1" si="86"/>
        <v>15</v>
      </c>
      <c r="P776" s="36">
        <f t="shared" ca="1" si="83"/>
        <v>6150.75</v>
      </c>
      <c r="Q776" s="36">
        <f t="shared" ca="1" si="84"/>
        <v>6150.75</v>
      </c>
      <c r="R776" s="25" t="s">
        <v>5729</v>
      </c>
    </row>
    <row r="777" spans="2:18" s="4" customFormat="1" ht="51" customHeight="1" x14ac:dyDescent="0.25">
      <c r="B777" s="24">
        <v>45413</v>
      </c>
      <c r="C777" s="24">
        <v>45468</v>
      </c>
      <c r="D777" s="56" t="s">
        <v>5702</v>
      </c>
      <c r="E777" s="26" t="s">
        <v>5724</v>
      </c>
      <c r="F777" s="53" t="s">
        <v>5705</v>
      </c>
      <c r="G777" s="56" t="s">
        <v>28</v>
      </c>
      <c r="H777" s="53" t="s">
        <v>19</v>
      </c>
      <c r="I777" s="53" t="s">
        <v>19</v>
      </c>
      <c r="J777" s="791">
        <v>8201</v>
      </c>
      <c r="K777" s="53">
        <v>57.9236</v>
      </c>
      <c r="L777" s="59">
        <f t="shared" si="85"/>
        <v>141.58305077723071</v>
      </c>
      <c r="M777" s="53">
        <v>60</v>
      </c>
      <c r="N777" s="57">
        <f t="shared" si="82"/>
        <v>136.68333333333334</v>
      </c>
      <c r="O777" s="38">
        <f t="shared" ca="1" si="86"/>
        <v>15</v>
      </c>
      <c r="P777" s="36">
        <f t="shared" ca="1" si="83"/>
        <v>6150.75</v>
      </c>
      <c r="Q777" s="36">
        <f t="shared" ca="1" si="84"/>
        <v>6150.75</v>
      </c>
      <c r="R777" s="25" t="s">
        <v>5729</v>
      </c>
    </row>
    <row r="778" spans="2:18" s="4" customFormat="1" ht="51" customHeight="1" x14ac:dyDescent="0.25">
      <c r="B778" s="24">
        <v>45413</v>
      </c>
      <c r="C778" s="24">
        <v>45468</v>
      </c>
      <c r="D778" s="56" t="s">
        <v>5702</v>
      </c>
      <c r="E778" s="26" t="s">
        <v>5725</v>
      </c>
      <c r="F778" s="53" t="s">
        <v>5706</v>
      </c>
      <c r="G778" s="56" t="s">
        <v>28</v>
      </c>
      <c r="H778" s="53" t="s">
        <v>19</v>
      </c>
      <c r="I778" s="53" t="s">
        <v>19</v>
      </c>
      <c r="J778" s="791">
        <v>14160</v>
      </c>
      <c r="K778" s="53">
        <v>57.9236</v>
      </c>
      <c r="L778" s="59">
        <f t="shared" si="85"/>
        <v>244.45994378802422</v>
      </c>
      <c r="M778" s="53">
        <v>60</v>
      </c>
      <c r="N778" s="57">
        <f t="shared" si="82"/>
        <v>236</v>
      </c>
      <c r="O778" s="38">
        <f t="shared" ca="1" si="86"/>
        <v>15</v>
      </c>
      <c r="P778" s="36">
        <f t="shared" ca="1" si="83"/>
        <v>10620</v>
      </c>
      <c r="Q778" s="36">
        <f t="shared" ca="1" si="84"/>
        <v>10620</v>
      </c>
      <c r="R778" s="25" t="s">
        <v>5729</v>
      </c>
    </row>
    <row r="779" spans="2:18" s="4" customFormat="1" ht="51" customHeight="1" x14ac:dyDescent="0.25">
      <c r="B779" s="24">
        <v>45413</v>
      </c>
      <c r="C779" s="24">
        <v>45468</v>
      </c>
      <c r="D779" s="56" t="s">
        <v>5702</v>
      </c>
      <c r="E779" s="26" t="s">
        <v>5726</v>
      </c>
      <c r="F779" s="53" t="s">
        <v>5707</v>
      </c>
      <c r="G779" s="56" t="s">
        <v>28</v>
      </c>
      <c r="H779" s="53" t="s">
        <v>19</v>
      </c>
      <c r="I779" s="53" t="s">
        <v>19</v>
      </c>
      <c r="J779" s="791">
        <v>24780</v>
      </c>
      <c r="K779" s="53">
        <v>57.9236</v>
      </c>
      <c r="L779" s="59">
        <f t="shared" si="85"/>
        <v>427.80490162904238</v>
      </c>
      <c r="M779" s="53">
        <v>60</v>
      </c>
      <c r="N779" s="57">
        <f t="shared" si="82"/>
        <v>413</v>
      </c>
      <c r="O779" s="38">
        <f t="shared" ca="1" si="86"/>
        <v>15</v>
      </c>
      <c r="P779" s="36">
        <f t="shared" ca="1" si="83"/>
        <v>18585</v>
      </c>
      <c r="Q779" s="36">
        <f t="shared" ca="1" si="84"/>
        <v>18585</v>
      </c>
      <c r="R779" s="25" t="s">
        <v>5729</v>
      </c>
    </row>
    <row r="780" spans="2:18" s="4" customFormat="1" ht="51.75" customHeight="1" x14ac:dyDescent="0.25">
      <c r="B780" s="24">
        <v>45413</v>
      </c>
      <c r="C780" s="24">
        <v>45468</v>
      </c>
      <c r="D780" s="53" t="s">
        <v>5702</v>
      </c>
      <c r="E780" s="26" t="s">
        <v>5727</v>
      </c>
      <c r="F780" s="53" t="s">
        <v>5708</v>
      </c>
      <c r="G780" s="56" t="s">
        <v>28</v>
      </c>
      <c r="H780" s="53" t="s">
        <v>5789</v>
      </c>
      <c r="I780" s="53" t="s">
        <v>19</v>
      </c>
      <c r="J780" s="791">
        <v>15930</v>
      </c>
      <c r="K780" s="53">
        <v>57.9236</v>
      </c>
      <c r="L780" s="59">
        <f t="shared" si="85"/>
        <v>275.01743676152728</v>
      </c>
      <c r="M780" s="53">
        <v>60</v>
      </c>
      <c r="N780" s="57">
        <f t="shared" si="82"/>
        <v>265.5</v>
      </c>
      <c r="O780" s="38">
        <f t="shared" ca="1" si="86"/>
        <v>15</v>
      </c>
      <c r="P780" s="36">
        <f t="shared" ca="1" si="83"/>
        <v>11947.5</v>
      </c>
      <c r="Q780" s="36">
        <f t="shared" ca="1" si="84"/>
        <v>11947.5</v>
      </c>
      <c r="R780" s="25" t="s">
        <v>5729</v>
      </c>
    </row>
    <row r="781" spans="2:18" s="4" customFormat="1" ht="120" customHeight="1" x14ac:dyDescent="0.25">
      <c r="B781" s="24">
        <v>45447</v>
      </c>
      <c r="C781" s="24">
        <v>45464</v>
      </c>
      <c r="D781" s="56" t="s">
        <v>5733</v>
      </c>
      <c r="E781" s="26" t="s">
        <v>5730</v>
      </c>
      <c r="F781" s="53" t="s">
        <v>5735</v>
      </c>
      <c r="G781" s="56" t="s">
        <v>5738</v>
      </c>
      <c r="H781" s="813" t="s">
        <v>6991</v>
      </c>
      <c r="I781" s="53" t="s">
        <v>19</v>
      </c>
      <c r="J781" s="791">
        <v>52038</v>
      </c>
      <c r="K781" s="53">
        <v>59.13</v>
      </c>
      <c r="L781" s="59">
        <f t="shared" si="85"/>
        <v>880.06088280060874</v>
      </c>
      <c r="M781" s="53">
        <v>60</v>
      </c>
      <c r="N781" s="57">
        <f t="shared" si="82"/>
        <v>867.3</v>
      </c>
      <c r="O781" s="38">
        <f t="shared" ca="1" si="86"/>
        <v>13</v>
      </c>
      <c r="P781" s="36">
        <f t="shared" ca="1" si="83"/>
        <v>40763.1</v>
      </c>
      <c r="Q781" s="36">
        <f t="shared" ca="1" si="84"/>
        <v>40763.1</v>
      </c>
      <c r="R781" s="53" t="s">
        <v>5734</v>
      </c>
    </row>
    <row r="782" spans="2:18" s="4" customFormat="1" ht="90.75" customHeight="1" x14ac:dyDescent="0.25">
      <c r="B782" s="24">
        <v>45447</v>
      </c>
      <c r="C782" s="24">
        <v>45464</v>
      </c>
      <c r="D782" s="56" t="s">
        <v>5733</v>
      </c>
      <c r="E782" s="26" t="s">
        <v>5731</v>
      </c>
      <c r="F782" s="53" t="s">
        <v>5739</v>
      </c>
      <c r="G782" s="56" t="s">
        <v>28</v>
      </c>
      <c r="H782" s="53" t="s">
        <v>5737</v>
      </c>
      <c r="I782" s="53" t="s">
        <v>19</v>
      </c>
      <c r="J782" s="791">
        <v>104076</v>
      </c>
      <c r="K782" s="53">
        <v>59.13</v>
      </c>
      <c r="L782" s="59">
        <f t="shared" si="85"/>
        <v>1760.1217656012175</v>
      </c>
      <c r="M782" s="53">
        <v>60</v>
      </c>
      <c r="N782" s="57">
        <f t="shared" si="82"/>
        <v>1734.6</v>
      </c>
      <c r="O782" s="38">
        <f t="shared" ca="1" si="86"/>
        <v>13</v>
      </c>
      <c r="P782" s="36">
        <f t="shared" ca="1" si="83"/>
        <v>81526.2</v>
      </c>
      <c r="Q782" s="36">
        <f t="shared" ca="1" si="84"/>
        <v>81526.2</v>
      </c>
      <c r="R782" s="53" t="s">
        <v>5734</v>
      </c>
    </row>
    <row r="783" spans="2:18" s="4" customFormat="1" ht="102.75" customHeight="1" x14ac:dyDescent="0.25">
      <c r="B783" s="24">
        <v>45447</v>
      </c>
      <c r="C783" s="24">
        <v>45464</v>
      </c>
      <c r="D783" s="56" t="s">
        <v>5733</v>
      </c>
      <c r="E783" s="26" t="s">
        <v>5732</v>
      </c>
      <c r="F783" s="53" t="s">
        <v>5736</v>
      </c>
      <c r="G783" s="56" t="s">
        <v>28</v>
      </c>
      <c r="H783" s="53" t="s">
        <v>4363</v>
      </c>
      <c r="I783" s="53" t="s">
        <v>19</v>
      </c>
      <c r="J783" s="791">
        <v>37170</v>
      </c>
      <c r="K783" s="53">
        <v>59.13</v>
      </c>
      <c r="L783" s="59">
        <f t="shared" si="85"/>
        <v>628.61491628614908</v>
      </c>
      <c r="M783" s="53">
        <v>60</v>
      </c>
      <c r="N783" s="57">
        <f t="shared" si="82"/>
        <v>619.5</v>
      </c>
      <c r="O783" s="38">
        <f t="shared" ca="1" si="86"/>
        <v>13</v>
      </c>
      <c r="P783" s="36">
        <f t="shared" ca="1" si="83"/>
        <v>29116.5</v>
      </c>
      <c r="Q783" s="36">
        <f t="shared" ca="1" si="84"/>
        <v>29116.5</v>
      </c>
      <c r="R783" s="53" t="s">
        <v>5734</v>
      </c>
    </row>
    <row r="784" spans="2:18" s="4" customFormat="1" ht="102.75" customHeight="1" x14ac:dyDescent="0.25">
      <c r="B784" s="24">
        <v>45448</v>
      </c>
      <c r="C784" s="24">
        <v>45468</v>
      </c>
      <c r="D784" s="56" t="s">
        <v>5744</v>
      </c>
      <c r="E784" s="26" t="s">
        <v>5740</v>
      </c>
      <c r="F784" s="53" t="s">
        <v>5743</v>
      </c>
      <c r="G784" s="926">
        <v>210574100</v>
      </c>
      <c r="H784" s="25" t="s">
        <v>5835</v>
      </c>
      <c r="I784" s="53" t="s">
        <v>19</v>
      </c>
      <c r="J784" s="791">
        <v>10000.01</v>
      </c>
      <c r="K784" s="53">
        <v>59.180100000000003</v>
      </c>
      <c r="L784" s="59">
        <f t="shared" si="85"/>
        <v>168.9758888545305</v>
      </c>
      <c r="M784" s="53">
        <v>60</v>
      </c>
      <c r="N784" s="57">
        <f t="shared" si="82"/>
        <v>166.66683333333333</v>
      </c>
      <c r="O784" s="38">
        <f t="shared" ca="1" si="86"/>
        <v>13</v>
      </c>
      <c r="P784" s="36">
        <f t="shared" ca="1" si="83"/>
        <v>7833.341166666667</v>
      </c>
      <c r="Q784" s="36">
        <f t="shared" ca="1" si="84"/>
        <v>7833.341166666667</v>
      </c>
      <c r="R784" s="53" t="s">
        <v>5742</v>
      </c>
    </row>
    <row r="785" spans="2:18" s="4" customFormat="1" ht="95.25" customHeight="1" x14ac:dyDescent="0.25">
      <c r="B785" s="24">
        <v>45448</v>
      </c>
      <c r="C785" s="24">
        <v>45468</v>
      </c>
      <c r="D785" s="56" t="s">
        <v>5744</v>
      </c>
      <c r="E785" s="26" t="s">
        <v>5741</v>
      </c>
      <c r="F785" s="53" t="s">
        <v>6015</v>
      </c>
      <c r="G785" s="56" t="s">
        <v>28</v>
      </c>
      <c r="H785" s="466" t="s">
        <v>5836</v>
      </c>
      <c r="I785" s="53" t="s">
        <v>19</v>
      </c>
      <c r="J785" s="791">
        <v>10000</v>
      </c>
      <c r="K785" s="53">
        <v>59.180100000000003</v>
      </c>
      <c r="L785" s="59">
        <f t="shared" si="85"/>
        <v>168.97571987881059</v>
      </c>
      <c r="M785" s="53">
        <v>60</v>
      </c>
      <c r="N785" s="57">
        <f t="shared" si="82"/>
        <v>166.66666666666666</v>
      </c>
      <c r="O785" s="38">
        <f t="shared" ca="1" si="86"/>
        <v>13</v>
      </c>
      <c r="P785" s="36">
        <f t="shared" ca="1" si="83"/>
        <v>7833.3333333333339</v>
      </c>
      <c r="Q785" s="36">
        <f t="shared" ca="1" si="84"/>
        <v>7833.3333333333339</v>
      </c>
      <c r="R785" s="53" t="s">
        <v>5742</v>
      </c>
    </row>
    <row r="786" spans="2:18" s="4" customFormat="1" ht="95.25" customHeight="1" x14ac:dyDescent="0.25">
      <c r="B786" s="739">
        <v>45470</v>
      </c>
      <c r="C786" s="739">
        <v>45652</v>
      </c>
      <c r="D786" s="56" t="s">
        <v>6094</v>
      </c>
      <c r="E786" s="26" t="s">
        <v>6101</v>
      </c>
      <c r="F786" s="672" t="s">
        <v>6135</v>
      </c>
      <c r="G786" s="56" t="s">
        <v>28</v>
      </c>
      <c r="H786" s="466" t="s">
        <v>5836</v>
      </c>
      <c r="I786" s="53" t="s">
        <v>19</v>
      </c>
      <c r="J786" s="792">
        <v>110706.8</v>
      </c>
      <c r="K786" s="672">
        <v>59.222200000000001</v>
      </c>
      <c r="L786" s="740">
        <f t="shared" si="85"/>
        <v>1869.3462924376331</v>
      </c>
      <c r="M786" s="53">
        <v>60</v>
      </c>
      <c r="N786" s="57">
        <f t="shared" si="82"/>
        <v>1845.1133333333335</v>
      </c>
      <c r="O786" s="741">
        <f t="shared" ca="1" si="86"/>
        <v>13</v>
      </c>
      <c r="P786" s="36">
        <f t="shared" ca="1" si="83"/>
        <v>86720.32666666666</v>
      </c>
      <c r="Q786" s="36">
        <f t="shared" ca="1" si="84"/>
        <v>86720.32666666666</v>
      </c>
      <c r="R786" s="742" t="s">
        <v>6137</v>
      </c>
    </row>
    <row r="787" spans="2:18" s="4" customFormat="1" ht="95.25" customHeight="1" x14ac:dyDescent="0.25">
      <c r="B787" s="739">
        <v>45470</v>
      </c>
      <c r="C787" s="739">
        <v>45652</v>
      </c>
      <c r="D787" s="56" t="s">
        <v>6094</v>
      </c>
      <c r="E787" s="26" t="s">
        <v>6102</v>
      </c>
      <c r="F787" s="672" t="s">
        <v>6135</v>
      </c>
      <c r="G787" s="56" t="s">
        <v>28</v>
      </c>
      <c r="H787" s="466" t="s">
        <v>5836</v>
      </c>
      <c r="I787" s="53" t="s">
        <v>19</v>
      </c>
      <c r="J787" s="792">
        <v>110706.8</v>
      </c>
      <c r="K787" s="672">
        <v>59.222200000000001</v>
      </c>
      <c r="L787" s="740">
        <f t="shared" si="85"/>
        <v>1869.3462924376331</v>
      </c>
      <c r="M787" s="53">
        <v>60</v>
      </c>
      <c r="N787" s="57">
        <f t="shared" si="82"/>
        <v>1845.1133333333335</v>
      </c>
      <c r="O787" s="741">
        <f t="shared" ca="1" si="86"/>
        <v>13</v>
      </c>
      <c r="P787" s="36">
        <f t="shared" ca="1" si="83"/>
        <v>86720.32666666666</v>
      </c>
      <c r="Q787" s="36">
        <f t="shared" ca="1" si="84"/>
        <v>86720.32666666666</v>
      </c>
      <c r="R787" s="742" t="s">
        <v>6137</v>
      </c>
    </row>
    <row r="788" spans="2:18" s="4" customFormat="1" ht="95.25" customHeight="1" x14ac:dyDescent="0.25">
      <c r="B788" s="739">
        <v>45470</v>
      </c>
      <c r="C788" s="739">
        <v>45652</v>
      </c>
      <c r="D788" s="56" t="s">
        <v>6094</v>
      </c>
      <c r="E788" s="26" t="s">
        <v>6103</v>
      </c>
      <c r="F788" s="672" t="s">
        <v>6135</v>
      </c>
      <c r="G788" s="56" t="s">
        <v>28</v>
      </c>
      <c r="H788" s="466" t="s">
        <v>5836</v>
      </c>
      <c r="I788" s="53" t="s">
        <v>19</v>
      </c>
      <c r="J788" s="792">
        <v>110706.82</v>
      </c>
      <c r="K788" s="672">
        <v>59.222200000000001</v>
      </c>
      <c r="L788" s="740">
        <f t="shared" si="85"/>
        <v>1869.3466301488295</v>
      </c>
      <c r="M788" s="53">
        <v>60</v>
      </c>
      <c r="N788" s="57">
        <f t="shared" si="82"/>
        <v>1845.1136666666669</v>
      </c>
      <c r="O788" s="741">
        <f t="shared" ca="1" si="86"/>
        <v>13</v>
      </c>
      <c r="P788" s="36">
        <f t="shared" ca="1" si="83"/>
        <v>86720.342333333334</v>
      </c>
      <c r="Q788" s="36">
        <f t="shared" ca="1" si="84"/>
        <v>86720.342333333334</v>
      </c>
      <c r="R788" s="742" t="s">
        <v>6137</v>
      </c>
    </row>
    <row r="789" spans="2:18" s="4" customFormat="1" ht="95.25" customHeight="1" x14ac:dyDescent="0.25">
      <c r="B789" s="739">
        <v>45470</v>
      </c>
      <c r="C789" s="739">
        <v>45652</v>
      </c>
      <c r="D789" s="56" t="s">
        <v>6094</v>
      </c>
      <c r="E789" s="26" t="s">
        <v>6104</v>
      </c>
      <c r="F789" s="672" t="s">
        <v>6136</v>
      </c>
      <c r="G789" s="56" t="s">
        <v>28</v>
      </c>
      <c r="H789" s="466" t="s">
        <v>5836</v>
      </c>
      <c r="I789" s="53" t="s">
        <v>19</v>
      </c>
      <c r="J789" s="792">
        <v>77550</v>
      </c>
      <c r="K789" s="672">
        <v>59.222200000000001</v>
      </c>
      <c r="L789" s="740">
        <f t="shared" si="85"/>
        <v>1309.47516303008</v>
      </c>
      <c r="M789" s="53">
        <v>60</v>
      </c>
      <c r="N789" s="57">
        <f t="shared" si="82"/>
        <v>1292.5</v>
      </c>
      <c r="O789" s="741">
        <f t="shared" ca="1" si="86"/>
        <v>13</v>
      </c>
      <c r="P789" s="36">
        <f t="shared" ca="1" si="83"/>
        <v>60747.5</v>
      </c>
      <c r="Q789" s="36">
        <f t="shared" ca="1" si="84"/>
        <v>60747.5</v>
      </c>
      <c r="R789" s="742" t="s">
        <v>6137</v>
      </c>
    </row>
    <row r="790" spans="2:18" s="4" customFormat="1" ht="95.25" customHeight="1" x14ac:dyDescent="0.25">
      <c r="B790" s="739">
        <v>45470</v>
      </c>
      <c r="C790" s="739">
        <v>45652</v>
      </c>
      <c r="D790" s="56" t="s">
        <v>6094</v>
      </c>
      <c r="E790" s="26" t="s">
        <v>6105</v>
      </c>
      <c r="F790" s="672" t="s">
        <v>6136</v>
      </c>
      <c r="G790" s="56" t="s">
        <v>28</v>
      </c>
      <c r="H790" s="466" t="s">
        <v>5836</v>
      </c>
      <c r="I790" s="53" t="s">
        <v>19</v>
      </c>
      <c r="J790" s="792">
        <v>77550</v>
      </c>
      <c r="K790" s="672">
        <v>59.222200000000001</v>
      </c>
      <c r="L790" s="740">
        <f t="shared" si="85"/>
        <v>1309.47516303008</v>
      </c>
      <c r="M790" s="53">
        <v>60</v>
      </c>
      <c r="N790" s="57">
        <f t="shared" si="82"/>
        <v>1292.5</v>
      </c>
      <c r="O790" s="741">
        <f t="shared" ca="1" si="86"/>
        <v>13</v>
      </c>
      <c r="P790" s="36">
        <f t="shared" ca="1" si="83"/>
        <v>60747.5</v>
      </c>
      <c r="Q790" s="36">
        <f t="shared" ca="1" si="84"/>
        <v>60747.5</v>
      </c>
      <c r="R790" s="742" t="s">
        <v>6137</v>
      </c>
    </row>
    <row r="791" spans="2:18" s="4" customFormat="1" ht="95.25" customHeight="1" x14ac:dyDescent="0.25">
      <c r="B791" s="739">
        <v>45470</v>
      </c>
      <c r="C791" s="739">
        <v>45652</v>
      </c>
      <c r="D791" s="56" t="s">
        <v>6094</v>
      </c>
      <c r="E791" s="26" t="s">
        <v>6114</v>
      </c>
      <c r="F791" s="672" t="s">
        <v>6136</v>
      </c>
      <c r="G791" s="56" t="s">
        <v>28</v>
      </c>
      <c r="H791" s="466" t="s">
        <v>5836</v>
      </c>
      <c r="I791" s="53" t="s">
        <v>19</v>
      </c>
      <c r="J791" s="792">
        <v>77550</v>
      </c>
      <c r="K791" s="672">
        <v>59.222200000000001</v>
      </c>
      <c r="L791" s="740">
        <f t="shared" si="85"/>
        <v>1309.47516303008</v>
      </c>
      <c r="M791" s="53">
        <v>60</v>
      </c>
      <c r="N791" s="57">
        <f t="shared" si="82"/>
        <v>1292.5</v>
      </c>
      <c r="O791" s="741">
        <f t="shared" ca="1" si="86"/>
        <v>13</v>
      </c>
      <c r="P791" s="36">
        <f t="shared" ca="1" si="83"/>
        <v>60747.5</v>
      </c>
      <c r="Q791" s="36">
        <f t="shared" ca="1" si="84"/>
        <v>60747.5</v>
      </c>
      <c r="R791" s="742" t="s">
        <v>6137</v>
      </c>
    </row>
    <row r="792" spans="2:18" s="4" customFormat="1" ht="95.25" customHeight="1" x14ac:dyDescent="0.25">
      <c r="B792" s="739">
        <v>45470</v>
      </c>
      <c r="C792" s="739">
        <v>45652</v>
      </c>
      <c r="D792" s="56" t="s">
        <v>6094</v>
      </c>
      <c r="E792" s="26" t="s">
        <v>6115</v>
      </c>
      <c r="F792" s="672" t="s">
        <v>6136</v>
      </c>
      <c r="G792" s="56" t="s">
        <v>28</v>
      </c>
      <c r="H792" s="466" t="s">
        <v>5836</v>
      </c>
      <c r="I792" s="53" t="s">
        <v>19</v>
      </c>
      <c r="J792" s="792">
        <v>77550</v>
      </c>
      <c r="K792" s="672">
        <v>59.222200000000001</v>
      </c>
      <c r="L792" s="740">
        <f t="shared" si="85"/>
        <v>1309.47516303008</v>
      </c>
      <c r="M792" s="53">
        <v>60</v>
      </c>
      <c r="N792" s="57">
        <f t="shared" si="82"/>
        <v>1292.5</v>
      </c>
      <c r="O792" s="741">
        <f t="shared" ca="1" si="86"/>
        <v>13</v>
      </c>
      <c r="P792" s="36">
        <f t="shared" ca="1" si="83"/>
        <v>60747.5</v>
      </c>
      <c r="Q792" s="36">
        <f t="shared" ca="1" si="84"/>
        <v>60747.5</v>
      </c>
      <c r="R792" s="742" t="s">
        <v>6137</v>
      </c>
    </row>
    <row r="793" spans="2:18" s="4" customFormat="1" ht="95.25" customHeight="1" x14ac:dyDescent="0.25">
      <c r="B793" s="739">
        <v>45470</v>
      </c>
      <c r="C793" s="739">
        <v>45652</v>
      </c>
      <c r="D793" s="56" t="s">
        <v>6094</v>
      </c>
      <c r="E793" s="26" t="s">
        <v>6116</v>
      </c>
      <c r="F793" s="672" t="s">
        <v>6136</v>
      </c>
      <c r="G793" s="56" t="s">
        <v>28</v>
      </c>
      <c r="H793" s="466" t="s">
        <v>5836</v>
      </c>
      <c r="I793" s="53" t="s">
        <v>19</v>
      </c>
      <c r="J793" s="792">
        <v>77550</v>
      </c>
      <c r="K793" s="672">
        <v>59.222200000000001</v>
      </c>
      <c r="L793" s="740">
        <f t="shared" si="85"/>
        <v>1309.47516303008</v>
      </c>
      <c r="M793" s="53">
        <v>60</v>
      </c>
      <c r="N793" s="57">
        <f t="shared" si="82"/>
        <v>1292.5</v>
      </c>
      <c r="O793" s="741">
        <f t="shared" ca="1" si="86"/>
        <v>13</v>
      </c>
      <c r="P793" s="36">
        <f t="shared" ca="1" si="83"/>
        <v>60747.5</v>
      </c>
      <c r="Q793" s="36">
        <f t="shared" ca="1" si="84"/>
        <v>60747.5</v>
      </c>
      <c r="R793" s="742" t="s">
        <v>6137</v>
      </c>
    </row>
    <row r="794" spans="2:18" s="4" customFormat="1" ht="95.25" customHeight="1" x14ac:dyDescent="0.25">
      <c r="B794" s="739">
        <v>45470</v>
      </c>
      <c r="C794" s="739">
        <v>45652</v>
      </c>
      <c r="D794" s="56" t="s">
        <v>6094</v>
      </c>
      <c r="E794" s="26" t="s">
        <v>6117</v>
      </c>
      <c r="F794" s="672" t="s">
        <v>6136</v>
      </c>
      <c r="G794" s="56" t="s">
        <v>28</v>
      </c>
      <c r="H794" s="466" t="s">
        <v>5836</v>
      </c>
      <c r="I794" s="53" t="s">
        <v>19</v>
      </c>
      <c r="J794" s="792">
        <v>77550</v>
      </c>
      <c r="K794" s="672">
        <v>59.222200000000001</v>
      </c>
      <c r="L794" s="740">
        <f t="shared" si="85"/>
        <v>1309.47516303008</v>
      </c>
      <c r="M794" s="53">
        <v>60</v>
      </c>
      <c r="N794" s="57">
        <f t="shared" si="82"/>
        <v>1292.5</v>
      </c>
      <c r="O794" s="741">
        <f t="shared" ca="1" si="86"/>
        <v>13</v>
      </c>
      <c r="P794" s="36">
        <f t="shared" ca="1" si="83"/>
        <v>60747.5</v>
      </c>
      <c r="Q794" s="36">
        <f t="shared" ca="1" si="84"/>
        <v>60747.5</v>
      </c>
      <c r="R794" s="742" t="s">
        <v>6137</v>
      </c>
    </row>
    <row r="795" spans="2:18" s="4" customFormat="1" ht="95.25" customHeight="1" x14ac:dyDescent="0.25">
      <c r="B795" s="739">
        <v>45470</v>
      </c>
      <c r="C795" s="739">
        <v>45652</v>
      </c>
      <c r="D795" s="56" t="s">
        <v>6094</v>
      </c>
      <c r="E795" s="26" t="s">
        <v>6118</v>
      </c>
      <c r="F795" s="672" t="s">
        <v>6136</v>
      </c>
      <c r="G795" s="56" t="s">
        <v>28</v>
      </c>
      <c r="H795" s="466" t="s">
        <v>5836</v>
      </c>
      <c r="I795" s="53" t="s">
        <v>19</v>
      </c>
      <c r="J795" s="792">
        <v>77550</v>
      </c>
      <c r="K795" s="672">
        <v>59.222200000000001</v>
      </c>
      <c r="L795" s="740">
        <f t="shared" si="85"/>
        <v>1309.47516303008</v>
      </c>
      <c r="M795" s="53">
        <v>60</v>
      </c>
      <c r="N795" s="57">
        <f t="shared" si="82"/>
        <v>1292.5</v>
      </c>
      <c r="O795" s="741">
        <f t="shared" ca="1" si="86"/>
        <v>13</v>
      </c>
      <c r="P795" s="36">
        <f t="shared" ca="1" si="83"/>
        <v>60747.5</v>
      </c>
      <c r="Q795" s="36">
        <f t="shared" ca="1" si="84"/>
        <v>60747.5</v>
      </c>
      <c r="R795" s="742" t="s">
        <v>6137</v>
      </c>
    </row>
    <row r="796" spans="2:18" s="4" customFormat="1" ht="95.25" customHeight="1" x14ac:dyDescent="0.25">
      <c r="B796" s="739">
        <v>45470</v>
      </c>
      <c r="C796" s="739">
        <v>45652</v>
      </c>
      <c r="D796" s="56" t="s">
        <v>6094</v>
      </c>
      <c r="E796" s="26" t="s">
        <v>6119</v>
      </c>
      <c r="F796" s="672" t="s">
        <v>6136</v>
      </c>
      <c r="G796" s="56" t="s">
        <v>28</v>
      </c>
      <c r="H796" s="466" t="s">
        <v>5836</v>
      </c>
      <c r="I796" s="53" t="s">
        <v>19</v>
      </c>
      <c r="J796" s="792">
        <v>77550</v>
      </c>
      <c r="K796" s="672">
        <v>59.222200000000001</v>
      </c>
      <c r="L796" s="740">
        <f t="shared" si="85"/>
        <v>1309.47516303008</v>
      </c>
      <c r="M796" s="53">
        <v>60</v>
      </c>
      <c r="N796" s="57">
        <f t="shared" si="82"/>
        <v>1292.5</v>
      </c>
      <c r="O796" s="741">
        <f t="shared" ca="1" si="86"/>
        <v>13</v>
      </c>
      <c r="P796" s="36">
        <f t="shared" ca="1" si="83"/>
        <v>60747.5</v>
      </c>
      <c r="Q796" s="36">
        <f t="shared" ca="1" si="84"/>
        <v>60747.5</v>
      </c>
      <c r="R796" s="742" t="s">
        <v>6137</v>
      </c>
    </row>
    <row r="797" spans="2:18" s="4" customFormat="1" ht="95.25" customHeight="1" x14ac:dyDescent="0.25">
      <c r="B797" s="739">
        <v>45470</v>
      </c>
      <c r="C797" s="739">
        <v>45652</v>
      </c>
      <c r="D797" s="56" t="s">
        <v>6094</v>
      </c>
      <c r="E797" s="26" t="s">
        <v>6120</v>
      </c>
      <c r="F797" s="672" t="s">
        <v>6136</v>
      </c>
      <c r="G797" s="56" t="s">
        <v>28</v>
      </c>
      <c r="H797" s="466" t="s">
        <v>5836</v>
      </c>
      <c r="I797" s="53" t="s">
        <v>19</v>
      </c>
      <c r="J797" s="792">
        <v>77550</v>
      </c>
      <c r="K797" s="672">
        <v>59.222200000000001</v>
      </c>
      <c r="L797" s="740">
        <f t="shared" si="85"/>
        <v>1309.47516303008</v>
      </c>
      <c r="M797" s="53">
        <v>60</v>
      </c>
      <c r="N797" s="57">
        <f t="shared" si="82"/>
        <v>1292.5</v>
      </c>
      <c r="O797" s="741">
        <f t="shared" ca="1" si="86"/>
        <v>13</v>
      </c>
      <c r="P797" s="36">
        <f t="shared" ca="1" si="83"/>
        <v>60747.5</v>
      </c>
      <c r="Q797" s="36">
        <f t="shared" ca="1" si="84"/>
        <v>60747.5</v>
      </c>
      <c r="R797" s="742" t="s">
        <v>6137</v>
      </c>
    </row>
    <row r="798" spans="2:18" s="4" customFormat="1" ht="95.25" customHeight="1" x14ac:dyDescent="0.25">
      <c r="B798" s="739">
        <v>45470</v>
      </c>
      <c r="C798" s="739">
        <v>45652</v>
      </c>
      <c r="D798" s="56" t="s">
        <v>6094</v>
      </c>
      <c r="E798" s="26" t="s">
        <v>6121</v>
      </c>
      <c r="F798" s="672" t="s">
        <v>6136</v>
      </c>
      <c r="G798" s="56" t="s">
        <v>28</v>
      </c>
      <c r="H798" s="466" t="s">
        <v>5836</v>
      </c>
      <c r="I798" s="53" t="s">
        <v>19</v>
      </c>
      <c r="J798" s="792">
        <v>77550</v>
      </c>
      <c r="K798" s="672">
        <v>59.222200000000001</v>
      </c>
      <c r="L798" s="740">
        <f t="shared" si="85"/>
        <v>1309.47516303008</v>
      </c>
      <c r="M798" s="53">
        <v>60</v>
      </c>
      <c r="N798" s="57">
        <f t="shared" si="82"/>
        <v>1292.5</v>
      </c>
      <c r="O798" s="741">
        <f t="shared" ca="1" si="86"/>
        <v>13</v>
      </c>
      <c r="P798" s="36">
        <f t="shared" ca="1" si="83"/>
        <v>60747.5</v>
      </c>
      <c r="Q798" s="36">
        <f t="shared" ca="1" si="84"/>
        <v>60747.5</v>
      </c>
      <c r="R798" s="742" t="s">
        <v>6137</v>
      </c>
    </row>
    <row r="799" spans="2:18" s="4" customFormat="1" ht="95.25" customHeight="1" x14ac:dyDescent="0.25">
      <c r="B799" s="739">
        <v>45470</v>
      </c>
      <c r="C799" s="739">
        <v>45652</v>
      </c>
      <c r="D799" s="56" t="s">
        <v>6094</v>
      </c>
      <c r="E799" s="26" t="s">
        <v>6122</v>
      </c>
      <c r="F799" s="672" t="s">
        <v>6136</v>
      </c>
      <c r="G799" s="56" t="s">
        <v>28</v>
      </c>
      <c r="H799" s="466" t="s">
        <v>5836</v>
      </c>
      <c r="I799" s="53" t="s">
        <v>19</v>
      </c>
      <c r="J799" s="792">
        <v>77550</v>
      </c>
      <c r="K799" s="672">
        <v>59.222200000000001</v>
      </c>
      <c r="L799" s="740">
        <f t="shared" si="85"/>
        <v>1309.47516303008</v>
      </c>
      <c r="M799" s="53">
        <v>60</v>
      </c>
      <c r="N799" s="57">
        <f t="shared" si="82"/>
        <v>1292.5</v>
      </c>
      <c r="O799" s="741">
        <f t="shared" ca="1" si="86"/>
        <v>13</v>
      </c>
      <c r="P799" s="36">
        <f t="shared" ca="1" si="83"/>
        <v>60747.5</v>
      </c>
      <c r="Q799" s="36">
        <f t="shared" ca="1" si="84"/>
        <v>60747.5</v>
      </c>
      <c r="R799" s="742" t="s">
        <v>6137</v>
      </c>
    </row>
    <row r="800" spans="2:18" s="4" customFormat="1" ht="95.25" customHeight="1" x14ac:dyDescent="0.25">
      <c r="B800" s="739">
        <v>45470</v>
      </c>
      <c r="C800" s="739">
        <v>45652</v>
      </c>
      <c r="D800" s="56" t="s">
        <v>6094</v>
      </c>
      <c r="E800" s="26" t="s">
        <v>6123</v>
      </c>
      <c r="F800" s="672" t="s">
        <v>6136</v>
      </c>
      <c r="G800" s="56" t="s">
        <v>28</v>
      </c>
      <c r="H800" s="466" t="s">
        <v>5836</v>
      </c>
      <c r="I800" s="53" t="s">
        <v>19</v>
      </c>
      <c r="J800" s="792">
        <v>77550</v>
      </c>
      <c r="K800" s="672">
        <v>59.222200000000001</v>
      </c>
      <c r="L800" s="740">
        <f t="shared" si="85"/>
        <v>1309.47516303008</v>
      </c>
      <c r="M800" s="53">
        <v>60</v>
      </c>
      <c r="N800" s="57">
        <f t="shared" si="82"/>
        <v>1292.5</v>
      </c>
      <c r="O800" s="741">
        <f t="shared" ca="1" si="86"/>
        <v>13</v>
      </c>
      <c r="P800" s="36">
        <f t="shared" ca="1" si="83"/>
        <v>60747.5</v>
      </c>
      <c r="Q800" s="36">
        <f t="shared" ca="1" si="84"/>
        <v>60747.5</v>
      </c>
      <c r="R800" s="742" t="s">
        <v>6137</v>
      </c>
    </row>
    <row r="801" spans="2:18" s="4" customFormat="1" ht="95.25" customHeight="1" x14ac:dyDescent="0.25">
      <c r="B801" s="739">
        <v>45470</v>
      </c>
      <c r="C801" s="739">
        <v>45652</v>
      </c>
      <c r="D801" s="56" t="s">
        <v>6094</v>
      </c>
      <c r="E801" s="26" t="s">
        <v>6124</v>
      </c>
      <c r="F801" s="672" t="s">
        <v>6136</v>
      </c>
      <c r="G801" s="56" t="s">
        <v>28</v>
      </c>
      <c r="H801" s="466" t="s">
        <v>5836</v>
      </c>
      <c r="I801" s="53" t="s">
        <v>19</v>
      </c>
      <c r="J801" s="792">
        <v>77550</v>
      </c>
      <c r="K801" s="672">
        <v>59.222200000000001</v>
      </c>
      <c r="L801" s="740">
        <f t="shared" si="85"/>
        <v>1309.47516303008</v>
      </c>
      <c r="M801" s="53">
        <v>60</v>
      </c>
      <c r="N801" s="57">
        <f t="shared" si="82"/>
        <v>1292.5</v>
      </c>
      <c r="O801" s="741">
        <f t="shared" ca="1" si="86"/>
        <v>13</v>
      </c>
      <c r="P801" s="36">
        <f t="shared" ca="1" si="83"/>
        <v>60747.5</v>
      </c>
      <c r="Q801" s="36">
        <f t="shared" ca="1" si="84"/>
        <v>60747.5</v>
      </c>
      <c r="R801" s="742" t="s">
        <v>6137</v>
      </c>
    </row>
    <row r="802" spans="2:18" s="4" customFormat="1" ht="95.25" customHeight="1" x14ac:dyDescent="0.25">
      <c r="B802" s="739">
        <v>45470</v>
      </c>
      <c r="C802" s="739">
        <v>45652</v>
      </c>
      <c r="D802" s="811" t="s">
        <v>6094</v>
      </c>
      <c r="E802" s="591" t="s">
        <v>6125</v>
      </c>
      <c r="F802" s="672" t="s">
        <v>6136</v>
      </c>
      <c r="G802" s="811" t="s">
        <v>28</v>
      </c>
      <c r="H802" s="812" t="s">
        <v>5836</v>
      </c>
      <c r="I802" s="590" t="s">
        <v>19</v>
      </c>
      <c r="J802" s="792">
        <v>77550.03</v>
      </c>
      <c r="K802" s="672">
        <v>59.222200000000001</v>
      </c>
      <c r="L802" s="740">
        <f t="shared" si="85"/>
        <v>1309.475669596874</v>
      </c>
      <c r="M802" s="590">
        <v>60</v>
      </c>
      <c r="N802" s="592">
        <f t="shared" si="82"/>
        <v>1292.5004999999999</v>
      </c>
      <c r="O802" s="741">
        <f t="shared" ca="1" si="86"/>
        <v>13</v>
      </c>
      <c r="P802" s="594">
        <f t="shared" ca="1" si="83"/>
        <v>60747.523499999996</v>
      </c>
      <c r="Q802" s="594">
        <f t="shared" ca="1" si="84"/>
        <v>60747.523499999996</v>
      </c>
      <c r="R802" s="742" t="s">
        <v>6137</v>
      </c>
    </row>
    <row r="803" spans="2:18" s="4" customFormat="1" ht="95.25" customHeight="1" x14ac:dyDescent="0.25">
      <c r="B803" s="24">
        <v>45512</v>
      </c>
      <c r="C803" s="24">
        <v>45636</v>
      </c>
      <c r="D803" s="56" t="s">
        <v>6029</v>
      </c>
      <c r="E803" s="26" t="s">
        <v>6028</v>
      </c>
      <c r="F803" s="53" t="s">
        <v>6031</v>
      </c>
      <c r="G803" s="548" t="s">
        <v>18</v>
      </c>
      <c r="H803" s="53" t="s">
        <v>3494</v>
      </c>
      <c r="I803" s="53" t="s">
        <v>19</v>
      </c>
      <c r="J803" s="791">
        <v>48000.01</v>
      </c>
      <c r="K803" s="53">
        <v>59.825499999999998</v>
      </c>
      <c r="L803" s="59">
        <f t="shared" si="85"/>
        <v>802.33362027897806</v>
      </c>
      <c r="M803" s="53">
        <v>60</v>
      </c>
      <c r="N803" s="57"/>
      <c r="O803" s="38">
        <f t="shared" ca="1" si="86"/>
        <v>11</v>
      </c>
      <c r="P803" s="36">
        <f t="shared" ca="1" si="83"/>
        <v>48000.01</v>
      </c>
      <c r="Q803" s="36">
        <f t="shared" ca="1" si="84"/>
        <v>48000.01</v>
      </c>
      <c r="R803" s="466" t="s">
        <v>6141</v>
      </c>
    </row>
    <row r="804" spans="2:18" s="4" customFormat="1" ht="95.25" customHeight="1" x14ac:dyDescent="0.25">
      <c r="B804" s="24">
        <v>45512</v>
      </c>
      <c r="C804" s="24">
        <v>45636</v>
      </c>
      <c r="D804" s="56" t="s">
        <v>6029</v>
      </c>
      <c r="E804" s="26" t="s">
        <v>6030</v>
      </c>
      <c r="F804" s="53" t="s">
        <v>6032</v>
      </c>
      <c r="G804" s="56" t="s">
        <v>6251</v>
      </c>
      <c r="H804" s="813" t="s">
        <v>6234</v>
      </c>
      <c r="I804" s="53" t="s">
        <v>19</v>
      </c>
      <c r="J804" s="791">
        <v>169999.99</v>
      </c>
      <c r="K804" s="53">
        <v>59.825499999999998</v>
      </c>
      <c r="L804" s="59">
        <f t="shared" si="85"/>
        <v>2841.5974793357345</v>
      </c>
      <c r="M804" s="53">
        <v>60</v>
      </c>
      <c r="N804" s="57"/>
      <c r="O804" s="38">
        <f t="shared" ca="1" si="86"/>
        <v>11</v>
      </c>
      <c r="P804" s="36">
        <f t="shared" ca="1" si="83"/>
        <v>169999.99</v>
      </c>
      <c r="Q804" s="36">
        <f t="shared" ca="1" si="84"/>
        <v>169999.99</v>
      </c>
      <c r="R804" s="466" t="s">
        <v>6141</v>
      </c>
    </row>
    <row r="805" spans="2:18" s="4" customFormat="1" ht="114.75" customHeight="1" x14ac:dyDescent="0.25">
      <c r="B805" s="58">
        <v>45565</v>
      </c>
      <c r="C805" s="58">
        <v>45629</v>
      </c>
      <c r="D805" s="56" t="s">
        <v>6025</v>
      </c>
      <c r="E805" s="29" t="s">
        <v>6021</v>
      </c>
      <c r="F805" s="56" t="s">
        <v>6575</v>
      </c>
      <c r="G805" s="56" t="s">
        <v>6022</v>
      </c>
      <c r="H805" s="814" t="s">
        <v>6023</v>
      </c>
      <c r="I805" s="56" t="s">
        <v>19</v>
      </c>
      <c r="J805" s="815">
        <v>4794000</v>
      </c>
      <c r="K805" s="56">
        <v>59.911499999999997</v>
      </c>
      <c r="L805" s="60">
        <f t="shared" si="85"/>
        <v>80018.026589219109</v>
      </c>
      <c r="M805" s="56">
        <v>60</v>
      </c>
      <c r="N805" s="61">
        <f t="shared" si="82"/>
        <v>79900</v>
      </c>
      <c r="O805" s="42">
        <f t="shared" ca="1" si="86"/>
        <v>9</v>
      </c>
      <c r="P805" s="43">
        <f t="shared" ca="1" si="83"/>
        <v>4074900</v>
      </c>
      <c r="Q805" s="43">
        <f t="shared" ca="1" si="84"/>
        <v>4074900</v>
      </c>
      <c r="R805" s="56" t="s">
        <v>6140</v>
      </c>
    </row>
    <row r="806" spans="2:18" s="4" customFormat="1" ht="114.75" customHeight="1" x14ac:dyDescent="0.25">
      <c r="B806" s="58">
        <v>45565</v>
      </c>
      <c r="C806" s="58">
        <v>45644</v>
      </c>
      <c r="D806" s="56" t="s">
        <v>6126</v>
      </c>
      <c r="E806" s="29" t="s">
        <v>6127</v>
      </c>
      <c r="F806" s="56" t="s">
        <v>6128</v>
      </c>
      <c r="G806" s="56" t="s">
        <v>28</v>
      </c>
      <c r="H806" s="56" t="s">
        <v>5737</v>
      </c>
      <c r="I806" s="56" t="s">
        <v>19</v>
      </c>
      <c r="J806" s="815">
        <v>125000</v>
      </c>
      <c r="K806" s="56">
        <v>60.220500000000001</v>
      </c>
      <c r="L806" s="60">
        <f t="shared" si="85"/>
        <v>2075.7051170282543</v>
      </c>
      <c r="M806" s="56">
        <v>60</v>
      </c>
      <c r="N806" s="61">
        <f t="shared" si="82"/>
        <v>2083.3333333333335</v>
      </c>
      <c r="O806" s="42">
        <f t="shared" ca="1" si="86"/>
        <v>9</v>
      </c>
      <c r="P806" s="43">
        <f t="shared" ca="1" si="83"/>
        <v>106250</v>
      </c>
      <c r="Q806" s="43">
        <f t="shared" ca="1" si="84"/>
        <v>106250</v>
      </c>
      <c r="R806" s="56" t="s">
        <v>6141</v>
      </c>
    </row>
    <row r="807" spans="2:18" s="4" customFormat="1" ht="114.75" customHeight="1" x14ac:dyDescent="0.25">
      <c r="B807" s="24">
        <v>45582</v>
      </c>
      <c r="C807" s="24">
        <v>45639</v>
      </c>
      <c r="D807" s="56" t="s">
        <v>6107</v>
      </c>
      <c r="E807" s="26" t="s">
        <v>6095</v>
      </c>
      <c r="F807" s="56" t="s">
        <v>6233</v>
      </c>
      <c r="G807" s="56" t="s">
        <v>6108</v>
      </c>
      <c r="H807" s="466" t="s">
        <v>2411</v>
      </c>
      <c r="I807" s="53" t="s">
        <v>19</v>
      </c>
      <c r="J807" s="791">
        <v>189989.75</v>
      </c>
      <c r="K807" s="53">
        <v>60.257100000000001</v>
      </c>
      <c r="L807" s="59">
        <f t="shared" si="85"/>
        <v>3152.9852913598561</v>
      </c>
      <c r="M807" s="53">
        <v>60</v>
      </c>
      <c r="N807" s="57">
        <f t="shared" si="82"/>
        <v>3166.4958333333334</v>
      </c>
      <c r="O807" s="38">
        <f t="shared" ca="1" si="86"/>
        <v>9</v>
      </c>
      <c r="P807" s="36">
        <f t="shared" ca="1" si="83"/>
        <v>161491.28750000001</v>
      </c>
      <c r="Q807" s="36">
        <f t="shared" ca="1" si="84"/>
        <v>161491.28750000001</v>
      </c>
      <c r="R807" s="53" t="s">
        <v>6142</v>
      </c>
    </row>
    <row r="808" spans="2:18" s="4" customFormat="1" ht="114.75" customHeight="1" x14ac:dyDescent="0.25">
      <c r="B808" s="24">
        <v>45582</v>
      </c>
      <c r="C808" s="24">
        <v>45639</v>
      </c>
      <c r="D808" s="56" t="s">
        <v>6107</v>
      </c>
      <c r="E808" s="26" t="s">
        <v>6096</v>
      </c>
      <c r="F808" s="53" t="s">
        <v>6233</v>
      </c>
      <c r="G808" s="56" t="s">
        <v>6109</v>
      </c>
      <c r="H808" s="53" t="s">
        <v>6229</v>
      </c>
      <c r="I808" s="53" t="s">
        <v>19</v>
      </c>
      <c r="J808" s="791">
        <v>189989.76000000001</v>
      </c>
      <c r="K808" s="53">
        <v>60.257100000000001</v>
      </c>
      <c r="L808" s="59">
        <f t="shared" si="85"/>
        <v>3152.9854573154034</v>
      </c>
      <c r="M808" s="53">
        <v>60</v>
      </c>
      <c r="N808" s="57">
        <f t="shared" si="82"/>
        <v>3166.4960000000001</v>
      </c>
      <c r="O808" s="38">
        <f t="shared" ca="1" si="86"/>
        <v>9</v>
      </c>
      <c r="P808" s="36">
        <f t="shared" ca="1" si="83"/>
        <v>161491.296</v>
      </c>
      <c r="Q808" s="36">
        <f t="shared" ca="1" si="84"/>
        <v>161491.296</v>
      </c>
      <c r="R808" s="53" t="s">
        <v>6142</v>
      </c>
    </row>
    <row r="809" spans="2:18" s="4" customFormat="1" ht="114.75" customHeight="1" x14ac:dyDescent="0.25">
      <c r="B809" s="24">
        <v>45582</v>
      </c>
      <c r="C809" s="24">
        <v>45639</v>
      </c>
      <c r="D809" s="56" t="s">
        <v>6107</v>
      </c>
      <c r="E809" s="26" t="s">
        <v>6097</v>
      </c>
      <c r="F809" s="53" t="s">
        <v>6233</v>
      </c>
      <c r="G809" s="56" t="s">
        <v>6110</v>
      </c>
      <c r="H809" s="25" t="s">
        <v>6230</v>
      </c>
      <c r="I809" s="53" t="s">
        <v>19</v>
      </c>
      <c r="J809" s="791">
        <v>189989.76000000001</v>
      </c>
      <c r="K809" s="53">
        <v>60.257100000000001</v>
      </c>
      <c r="L809" s="59">
        <f t="shared" si="85"/>
        <v>3152.9854573154034</v>
      </c>
      <c r="M809" s="53">
        <v>60</v>
      </c>
      <c r="N809" s="57">
        <f t="shared" si="82"/>
        <v>3166.4960000000001</v>
      </c>
      <c r="O809" s="38">
        <f t="shared" ca="1" si="86"/>
        <v>9</v>
      </c>
      <c r="P809" s="36">
        <f t="shared" ca="1" si="83"/>
        <v>161491.296</v>
      </c>
      <c r="Q809" s="36">
        <f t="shared" ca="1" si="84"/>
        <v>161491.296</v>
      </c>
      <c r="R809" s="53" t="s">
        <v>6142</v>
      </c>
    </row>
    <row r="810" spans="2:18" s="4" customFormat="1" ht="114.75" customHeight="1" x14ac:dyDescent="0.25">
      <c r="B810" s="24">
        <v>45582</v>
      </c>
      <c r="C810" s="24">
        <v>45639</v>
      </c>
      <c r="D810" s="56" t="s">
        <v>6107</v>
      </c>
      <c r="E810" s="26" t="s">
        <v>6098</v>
      </c>
      <c r="F810" s="53" t="s">
        <v>6233</v>
      </c>
      <c r="G810" s="56" t="s">
        <v>6111</v>
      </c>
      <c r="H810" s="25" t="s">
        <v>6231</v>
      </c>
      <c r="I810" s="53" t="s">
        <v>19</v>
      </c>
      <c r="J810" s="791">
        <v>189989.76000000001</v>
      </c>
      <c r="K810" s="53">
        <v>60.257100000000001</v>
      </c>
      <c r="L810" s="59">
        <f t="shared" si="85"/>
        <v>3152.9854573154034</v>
      </c>
      <c r="M810" s="53">
        <v>60</v>
      </c>
      <c r="N810" s="57">
        <f t="shared" si="82"/>
        <v>3166.4960000000001</v>
      </c>
      <c r="O810" s="38">
        <f t="shared" ca="1" si="86"/>
        <v>9</v>
      </c>
      <c r="P810" s="36">
        <f t="shared" ca="1" si="83"/>
        <v>161491.296</v>
      </c>
      <c r="Q810" s="36">
        <f t="shared" ca="1" si="84"/>
        <v>161491.296</v>
      </c>
      <c r="R810" s="53" t="s">
        <v>6142</v>
      </c>
    </row>
    <row r="811" spans="2:18" s="4" customFormat="1" ht="114.75" customHeight="1" x14ac:dyDescent="0.25">
      <c r="B811" s="24">
        <v>45582</v>
      </c>
      <c r="C811" s="24">
        <v>45639</v>
      </c>
      <c r="D811" s="56" t="s">
        <v>6107</v>
      </c>
      <c r="E811" s="26" t="s">
        <v>6099</v>
      </c>
      <c r="F811" s="53" t="s">
        <v>6233</v>
      </c>
      <c r="G811" s="56" t="s">
        <v>6112</v>
      </c>
      <c r="H811" s="466" t="s">
        <v>5836</v>
      </c>
      <c r="I811" s="53" t="s">
        <v>19</v>
      </c>
      <c r="J811" s="791">
        <v>189989.76000000001</v>
      </c>
      <c r="K811" s="53">
        <v>60.257100000000001</v>
      </c>
      <c r="L811" s="59">
        <f t="shared" si="85"/>
        <v>3152.9854573154034</v>
      </c>
      <c r="M811" s="53">
        <v>60</v>
      </c>
      <c r="N811" s="57">
        <f t="shared" si="82"/>
        <v>3166.4960000000001</v>
      </c>
      <c r="O811" s="38">
        <f t="shared" ca="1" si="86"/>
        <v>9</v>
      </c>
      <c r="P811" s="36">
        <f t="shared" ca="1" si="83"/>
        <v>161491.296</v>
      </c>
      <c r="Q811" s="36">
        <f t="shared" ca="1" si="84"/>
        <v>161491.296</v>
      </c>
      <c r="R811" s="53" t="s">
        <v>6142</v>
      </c>
    </row>
    <row r="812" spans="2:18" s="4" customFormat="1" ht="114.75" customHeight="1" x14ac:dyDescent="0.25">
      <c r="B812" s="24">
        <v>45582</v>
      </c>
      <c r="C812" s="24">
        <v>45639</v>
      </c>
      <c r="D812" s="56" t="s">
        <v>6107</v>
      </c>
      <c r="E812" s="26" t="s">
        <v>6100</v>
      </c>
      <c r="F812" s="53" t="s">
        <v>6233</v>
      </c>
      <c r="G812" s="56" t="s">
        <v>6113</v>
      </c>
      <c r="H812" s="25" t="s">
        <v>6232</v>
      </c>
      <c r="I812" s="53" t="s">
        <v>19</v>
      </c>
      <c r="J812" s="791">
        <v>189989.76000000001</v>
      </c>
      <c r="K812" s="53">
        <v>60.257100000000001</v>
      </c>
      <c r="L812" s="59">
        <f t="shared" si="85"/>
        <v>3152.9854573154034</v>
      </c>
      <c r="M812" s="53">
        <v>60</v>
      </c>
      <c r="N812" s="57">
        <f t="shared" si="82"/>
        <v>3166.4960000000001</v>
      </c>
      <c r="O812" s="38">
        <f t="shared" ca="1" si="86"/>
        <v>9</v>
      </c>
      <c r="P812" s="36">
        <f t="shared" ca="1" si="83"/>
        <v>161491.296</v>
      </c>
      <c r="Q812" s="36">
        <f t="shared" ca="1" si="84"/>
        <v>161491.296</v>
      </c>
      <c r="R812" s="53" t="s">
        <v>6142</v>
      </c>
    </row>
    <row r="813" spans="2:18" s="4" customFormat="1" ht="114.75" customHeight="1" x14ac:dyDescent="0.25">
      <c r="B813" s="24">
        <v>45583</v>
      </c>
      <c r="C813" s="24">
        <v>45639</v>
      </c>
      <c r="D813" s="56" t="s">
        <v>6033</v>
      </c>
      <c r="E813" s="26" t="s">
        <v>6034</v>
      </c>
      <c r="F813" s="53" t="s">
        <v>6084</v>
      </c>
      <c r="G813" s="927" t="s">
        <v>6106</v>
      </c>
      <c r="H813" s="466" t="s">
        <v>5836</v>
      </c>
      <c r="I813" s="53" t="s">
        <v>19</v>
      </c>
      <c r="J813" s="791">
        <v>7114.25</v>
      </c>
      <c r="K813" s="53">
        <v>60.257100000000001</v>
      </c>
      <c r="L813" s="59">
        <f t="shared" si="85"/>
        <v>118.0649251291549</v>
      </c>
      <c r="M813" s="53">
        <v>60</v>
      </c>
      <c r="N813" s="57">
        <f t="shared" si="82"/>
        <v>118.57083333333334</v>
      </c>
      <c r="O813" s="38">
        <f t="shared" ca="1" si="86"/>
        <v>9</v>
      </c>
      <c r="P813" s="36">
        <f t="shared" ca="1" si="83"/>
        <v>6047.1125000000002</v>
      </c>
      <c r="Q813" s="36">
        <f t="shared" ca="1" si="84"/>
        <v>6047.1125000000002</v>
      </c>
      <c r="R813" s="53" t="s">
        <v>1327</v>
      </c>
    </row>
    <row r="814" spans="2:18" s="4" customFormat="1" ht="114.75" customHeight="1" x14ac:dyDescent="0.25">
      <c r="B814" s="24">
        <v>45583</v>
      </c>
      <c r="C814" s="24">
        <v>45639</v>
      </c>
      <c r="D814" s="56" t="s">
        <v>6033</v>
      </c>
      <c r="E814" s="26" t="s">
        <v>6035</v>
      </c>
      <c r="F814" s="53" t="s">
        <v>6084</v>
      </c>
      <c r="G814" s="927" t="s">
        <v>6106</v>
      </c>
      <c r="H814" s="466" t="s">
        <v>5836</v>
      </c>
      <c r="I814" s="53" t="s">
        <v>19</v>
      </c>
      <c r="J814" s="791">
        <v>7114.4</v>
      </c>
      <c r="K814" s="53">
        <v>60.257100000000001</v>
      </c>
      <c r="L814" s="59">
        <f t="shared" si="85"/>
        <v>118.06741446236211</v>
      </c>
      <c r="M814" s="53">
        <v>60</v>
      </c>
      <c r="N814" s="57">
        <f t="shared" si="82"/>
        <v>118.57333333333332</v>
      </c>
      <c r="O814" s="38">
        <f t="shared" ca="1" si="86"/>
        <v>9</v>
      </c>
      <c r="P814" s="36">
        <f t="shared" ca="1" si="83"/>
        <v>6047.24</v>
      </c>
      <c r="Q814" s="36">
        <f t="shared" ca="1" si="84"/>
        <v>6047.24</v>
      </c>
      <c r="R814" s="53" t="s">
        <v>1327</v>
      </c>
    </row>
    <row r="815" spans="2:18" ht="57" customHeight="1" x14ac:dyDescent="0.2">
      <c r="B815" s="24">
        <v>45583</v>
      </c>
      <c r="C815" s="24">
        <v>45639</v>
      </c>
      <c r="D815" s="56" t="s">
        <v>6033</v>
      </c>
      <c r="E815" s="26" t="s">
        <v>6036</v>
      </c>
      <c r="F815" s="53" t="s">
        <v>6084</v>
      </c>
      <c r="G815" s="927" t="s">
        <v>6106</v>
      </c>
      <c r="H815" s="466" t="s">
        <v>5836</v>
      </c>
      <c r="I815" s="53" t="s">
        <v>19</v>
      </c>
      <c r="J815" s="791">
        <v>7114.4</v>
      </c>
      <c r="K815" s="53">
        <v>60.257100000000001</v>
      </c>
      <c r="L815" s="59">
        <f t="shared" si="85"/>
        <v>118.06741446236211</v>
      </c>
      <c r="M815" s="53">
        <v>60</v>
      </c>
      <c r="N815" s="57">
        <f t="shared" si="82"/>
        <v>118.57333333333332</v>
      </c>
      <c r="O815" s="38">
        <f t="shared" ca="1" si="86"/>
        <v>9</v>
      </c>
      <c r="P815" s="36">
        <f t="shared" ca="1" si="83"/>
        <v>6047.24</v>
      </c>
      <c r="Q815" s="36">
        <f t="shared" ca="1" si="84"/>
        <v>6047.24</v>
      </c>
      <c r="R815" s="53" t="s">
        <v>1327</v>
      </c>
    </row>
    <row r="816" spans="2:18" s="4" customFormat="1" ht="120" customHeight="1" x14ac:dyDescent="0.25">
      <c r="B816" s="24">
        <v>45583</v>
      </c>
      <c r="C816" s="24">
        <v>45639</v>
      </c>
      <c r="D816" s="56" t="s">
        <v>6033</v>
      </c>
      <c r="E816" s="26" t="s">
        <v>6037</v>
      </c>
      <c r="F816" s="53" t="s">
        <v>6084</v>
      </c>
      <c r="G816" s="927" t="s">
        <v>6106</v>
      </c>
      <c r="H816" s="466" t="s">
        <v>5836</v>
      </c>
      <c r="I816" s="53" t="s">
        <v>19</v>
      </c>
      <c r="J816" s="791">
        <v>7114.4</v>
      </c>
      <c r="K816" s="53">
        <v>60.257100000000001</v>
      </c>
      <c r="L816" s="59">
        <f t="shared" si="85"/>
        <v>118.06741446236211</v>
      </c>
      <c r="M816" s="53">
        <v>60</v>
      </c>
      <c r="N816" s="57">
        <f t="shared" si="82"/>
        <v>118.57333333333332</v>
      </c>
      <c r="O816" s="38">
        <f t="shared" ca="1" si="86"/>
        <v>9</v>
      </c>
      <c r="P816" s="36">
        <f t="shared" ca="1" si="83"/>
        <v>6047.24</v>
      </c>
      <c r="Q816" s="36">
        <f t="shared" ca="1" si="84"/>
        <v>6047.24</v>
      </c>
      <c r="R816" s="53" t="s">
        <v>1327</v>
      </c>
    </row>
    <row r="817" spans="2:18" s="4" customFormat="1" ht="120" customHeight="1" x14ac:dyDescent="0.25">
      <c r="B817" s="24">
        <v>45583</v>
      </c>
      <c r="C817" s="24">
        <v>45639</v>
      </c>
      <c r="D817" s="56" t="s">
        <v>6033</v>
      </c>
      <c r="E817" s="26" t="s">
        <v>6038</v>
      </c>
      <c r="F817" s="53" t="s">
        <v>6084</v>
      </c>
      <c r="G817" s="927" t="s">
        <v>6106</v>
      </c>
      <c r="H817" s="466" t="s">
        <v>5836</v>
      </c>
      <c r="I817" s="53" t="s">
        <v>19</v>
      </c>
      <c r="J817" s="791">
        <v>7114.4</v>
      </c>
      <c r="K817" s="53">
        <v>60.257100000000001</v>
      </c>
      <c r="L817" s="59">
        <f t="shared" si="85"/>
        <v>118.06741446236211</v>
      </c>
      <c r="M817" s="53">
        <v>60</v>
      </c>
      <c r="N817" s="57">
        <f t="shared" si="82"/>
        <v>118.57333333333332</v>
      </c>
      <c r="O817" s="38">
        <f t="shared" ca="1" si="86"/>
        <v>9</v>
      </c>
      <c r="P817" s="36">
        <f t="shared" ca="1" si="83"/>
        <v>6047.24</v>
      </c>
      <c r="Q817" s="36">
        <f t="shared" ca="1" si="84"/>
        <v>6047.24</v>
      </c>
      <c r="R817" s="53" t="s">
        <v>1327</v>
      </c>
    </row>
    <row r="818" spans="2:18" s="4" customFormat="1" ht="120" customHeight="1" x14ac:dyDescent="0.25">
      <c r="B818" s="24">
        <v>45583</v>
      </c>
      <c r="C818" s="24">
        <v>45639</v>
      </c>
      <c r="D818" s="56" t="s">
        <v>6033</v>
      </c>
      <c r="E818" s="26" t="s">
        <v>6039</v>
      </c>
      <c r="F818" s="53" t="s">
        <v>6084</v>
      </c>
      <c r="G818" s="927" t="s">
        <v>6106</v>
      </c>
      <c r="H818" s="466" t="s">
        <v>5836</v>
      </c>
      <c r="I818" s="53" t="s">
        <v>19</v>
      </c>
      <c r="J818" s="791">
        <v>7114.4</v>
      </c>
      <c r="K818" s="53">
        <v>60.257100000000001</v>
      </c>
      <c r="L818" s="59">
        <f t="shared" si="85"/>
        <v>118.06741446236211</v>
      </c>
      <c r="M818" s="53">
        <v>60</v>
      </c>
      <c r="N818" s="57">
        <f t="shared" si="82"/>
        <v>118.57333333333332</v>
      </c>
      <c r="O818" s="38">
        <f t="shared" ca="1" si="86"/>
        <v>9</v>
      </c>
      <c r="P818" s="36">
        <f t="shared" ca="1" si="83"/>
        <v>6047.24</v>
      </c>
      <c r="Q818" s="36">
        <f t="shared" ca="1" si="84"/>
        <v>6047.24</v>
      </c>
      <c r="R818" s="53" t="s">
        <v>1327</v>
      </c>
    </row>
    <row r="819" spans="2:18" s="4" customFormat="1" ht="120" customHeight="1" x14ac:dyDescent="0.25">
      <c r="B819" s="24">
        <v>45583</v>
      </c>
      <c r="C819" s="24">
        <v>45639</v>
      </c>
      <c r="D819" s="56" t="s">
        <v>6033</v>
      </c>
      <c r="E819" s="26" t="s">
        <v>6040</v>
      </c>
      <c r="F819" s="53" t="s">
        <v>6084</v>
      </c>
      <c r="G819" s="927" t="s">
        <v>6106</v>
      </c>
      <c r="H819" s="466" t="s">
        <v>5836</v>
      </c>
      <c r="I819" s="53" t="s">
        <v>19</v>
      </c>
      <c r="J819" s="791">
        <v>7114.4</v>
      </c>
      <c r="K819" s="53">
        <v>60.257100000000001</v>
      </c>
      <c r="L819" s="59">
        <f t="shared" si="85"/>
        <v>118.06741446236211</v>
      </c>
      <c r="M819" s="53">
        <v>60</v>
      </c>
      <c r="N819" s="57">
        <f t="shared" si="82"/>
        <v>118.57333333333332</v>
      </c>
      <c r="O819" s="38">
        <f t="shared" ca="1" si="86"/>
        <v>9</v>
      </c>
      <c r="P819" s="36">
        <f t="shared" ca="1" si="83"/>
        <v>6047.24</v>
      </c>
      <c r="Q819" s="36">
        <f t="shared" ca="1" si="84"/>
        <v>6047.24</v>
      </c>
      <c r="R819" s="53" t="s">
        <v>1327</v>
      </c>
    </row>
    <row r="820" spans="2:18" s="4" customFormat="1" ht="120" customHeight="1" x14ac:dyDescent="0.25">
      <c r="B820" s="24">
        <v>45583</v>
      </c>
      <c r="C820" s="24">
        <v>45639</v>
      </c>
      <c r="D820" s="56" t="s">
        <v>6033</v>
      </c>
      <c r="E820" s="26" t="s">
        <v>6041</v>
      </c>
      <c r="F820" s="53" t="s">
        <v>6084</v>
      </c>
      <c r="G820" s="927" t="s">
        <v>6106</v>
      </c>
      <c r="H820" s="466" t="s">
        <v>5836</v>
      </c>
      <c r="I820" s="53" t="s">
        <v>19</v>
      </c>
      <c r="J820" s="791">
        <v>7114.4</v>
      </c>
      <c r="K820" s="53">
        <v>60.257100000000001</v>
      </c>
      <c r="L820" s="59">
        <f t="shared" si="85"/>
        <v>118.06741446236211</v>
      </c>
      <c r="M820" s="53">
        <v>60</v>
      </c>
      <c r="N820" s="57">
        <f t="shared" ref="N820:N879" si="87">J820/M820</f>
        <v>118.57333333333332</v>
      </c>
      <c r="O820" s="38">
        <f t="shared" ca="1" si="86"/>
        <v>9</v>
      </c>
      <c r="P820" s="36">
        <f t="shared" ref="P820:P879" ca="1" si="88">IF(OR(J820=0,M820=0,O820=0),0,J820-(N820*O820))</f>
        <v>6047.24</v>
      </c>
      <c r="Q820" s="36">
        <f t="shared" ref="Q820:Q879" ca="1" si="89">IF(P820&lt;1,1,P820)</f>
        <v>6047.24</v>
      </c>
      <c r="R820" s="53" t="s">
        <v>1327</v>
      </c>
    </row>
    <row r="821" spans="2:18" s="4" customFormat="1" ht="120" customHeight="1" x14ac:dyDescent="0.25">
      <c r="B821" s="24">
        <v>45583</v>
      </c>
      <c r="C821" s="24">
        <v>45639</v>
      </c>
      <c r="D821" s="56" t="s">
        <v>6033</v>
      </c>
      <c r="E821" s="26" t="s">
        <v>6042</v>
      </c>
      <c r="F821" s="53" t="s">
        <v>6084</v>
      </c>
      <c r="G821" s="927" t="s">
        <v>6106</v>
      </c>
      <c r="H821" s="466" t="s">
        <v>5836</v>
      </c>
      <c r="I821" s="53" t="s">
        <v>19</v>
      </c>
      <c r="J821" s="791">
        <v>7114.4</v>
      </c>
      <c r="K821" s="53">
        <v>60.257100000000001</v>
      </c>
      <c r="L821" s="59">
        <f t="shared" si="85"/>
        <v>118.06741446236211</v>
      </c>
      <c r="M821" s="53">
        <v>60</v>
      </c>
      <c r="N821" s="57">
        <f t="shared" si="87"/>
        <v>118.57333333333332</v>
      </c>
      <c r="O821" s="38">
        <f t="shared" ca="1" si="86"/>
        <v>9</v>
      </c>
      <c r="P821" s="36">
        <f t="shared" ca="1" si="88"/>
        <v>6047.24</v>
      </c>
      <c r="Q821" s="36">
        <f t="shared" ca="1" si="89"/>
        <v>6047.24</v>
      </c>
      <c r="R821" s="53" t="s">
        <v>1327</v>
      </c>
    </row>
    <row r="822" spans="2:18" s="4" customFormat="1" ht="120" customHeight="1" x14ac:dyDescent="0.25">
      <c r="B822" s="24">
        <v>45583</v>
      </c>
      <c r="C822" s="24">
        <v>45639</v>
      </c>
      <c r="D822" s="56" t="s">
        <v>6033</v>
      </c>
      <c r="E822" s="26" t="s">
        <v>6043</v>
      </c>
      <c r="F822" s="53" t="s">
        <v>6084</v>
      </c>
      <c r="G822" s="927" t="s">
        <v>6106</v>
      </c>
      <c r="H822" s="466" t="s">
        <v>5836</v>
      </c>
      <c r="I822" s="53" t="s">
        <v>19</v>
      </c>
      <c r="J822" s="791">
        <v>7114.4</v>
      </c>
      <c r="K822" s="53">
        <v>60.257100000000001</v>
      </c>
      <c r="L822" s="59">
        <f t="shared" ref="L822:L879" si="90">J822/K822</f>
        <v>118.06741446236211</v>
      </c>
      <c r="M822" s="53">
        <v>60</v>
      </c>
      <c r="N822" s="57">
        <f t="shared" si="87"/>
        <v>118.57333333333332</v>
      </c>
      <c r="O822" s="38">
        <f t="shared" ca="1" si="86"/>
        <v>9</v>
      </c>
      <c r="P822" s="36">
        <f t="shared" ca="1" si="88"/>
        <v>6047.24</v>
      </c>
      <c r="Q822" s="36">
        <f t="shared" ca="1" si="89"/>
        <v>6047.24</v>
      </c>
      <c r="R822" s="53" t="s">
        <v>1327</v>
      </c>
    </row>
    <row r="823" spans="2:18" s="4" customFormat="1" ht="120" customHeight="1" x14ac:dyDescent="0.25">
      <c r="B823" s="24">
        <v>45583</v>
      </c>
      <c r="C823" s="24">
        <v>45639</v>
      </c>
      <c r="D823" s="56" t="s">
        <v>6033</v>
      </c>
      <c r="E823" s="26" t="s">
        <v>6044</v>
      </c>
      <c r="F823" s="53" t="s">
        <v>6084</v>
      </c>
      <c r="G823" s="927" t="s">
        <v>6106</v>
      </c>
      <c r="H823" s="466" t="s">
        <v>5836</v>
      </c>
      <c r="I823" s="53" t="s">
        <v>19</v>
      </c>
      <c r="J823" s="791">
        <v>7114.4</v>
      </c>
      <c r="K823" s="53">
        <v>60.257100000000001</v>
      </c>
      <c r="L823" s="59">
        <f t="shared" si="90"/>
        <v>118.06741446236211</v>
      </c>
      <c r="M823" s="53">
        <v>60</v>
      </c>
      <c r="N823" s="57">
        <f t="shared" si="87"/>
        <v>118.57333333333332</v>
      </c>
      <c r="O823" s="38">
        <f t="shared" ca="1" si="86"/>
        <v>9</v>
      </c>
      <c r="P823" s="36">
        <f t="shared" ca="1" si="88"/>
        <v>6047.24</v>
      </c>
      <c r="Q823" s="36">
        <f t="shared" ca="1" si="89"/>
        <v>6047.24</v>
      </c>
      <c r="R823" s="53" t="s">
        <v>1327</v>
      </c>
    </row>
    <row r="824" spans="2:18" s="4" customFormat="1" ht="120" customHeight="1" x14ac:dyDescent="0.25">
      <c r="B824" s="24">
        <v>45583</v>
      </c>
      <c r="C824" s="24">
        <v>45639</v>
      </c>
      <c r="D824" s="56" t="s">
        <v>6033</v>
      </c>
      <c r="E824" s="26" t="s">
        <v>6045</v>
      </c>
      <c r="F824" s="53" t="s">
        <v>6084</v>
      </c>
      <c r="G824" s="927" t="s">
        <v>6106</v>
      </c>
      <c r="H824" s="466" t="s">
        <v>5836</v>
      </c>
      <c r="I824" s="53" t="s">
        <v>19</v>
      </c>
      <c r="J824" s="791">
        <v>7114.4</v>
      </c>
      <c r="K824" s="53">
        <v>60.257100000000001</v>
      </c>
      <c r="L824" s="59">
        <f t="shared" si="90"/>
        <v>118.06741446236211</v>
      </c>
      <c r="M824" s="53">
        <v>60</v>
      </c>
      <c r="N824" s="57">
        <f t="shared" si="87"/>
        <v>118.57333333333332</v>
      </c>
      <c r="O824" s="38">
        <f t="shared" ref="O824:O879" ca="1" si="91">IF(B824&lt;&gt;0,(ROUND((NOW()-B824)/30,0)),0)</f>
        <v>9</v>
      </c>
      <c r="P824" s="36">
        <f t="shared" ca="1" si="88"/>
        <v>6047.24</v>
      </c>
      <c r="Q824" s="36">
        <f t="shared" ca="1" si="89"/>
        <v>6047.24</v>
      </c>
      <c r="R824" s="53" t="s">
        <v>1327</v>
      </c>
    </row>
    <row r="825" spans="2:18" s="4" customFormat="1" ht="120" customHeight="1" x14ac:dyDescent="0.25">
      <c r="B825" s="24">
        <v>45583</v>
      </c>
      <c r="C825" s="24">
        <v>45639</v>
      </c>
      <c r="D825" s="56" t="s">
        <v>6033</v>
      </c>
      <c r="E825" s="26" t="s">
        <v>6046</v>
      </c>
      <c r="F825" s="53" t="s">
        <v>6084</v>
      </c>
      <c r="G825" s="927" t="s">
        <v>6106</v>
      </c>
      <c r="H825" s="466" t="s">
        <v>5836</v>
      </c>
      <c r="I825" s="53" t="s">
        <v>19</v>
      </c>
      <c r="J825" s="791">
        <v>7114.4</v>
      </c>
      <c r="K825" s="53">
        <v>60.257100000000001</v>
      </c>
      <c r="L825" s="59">
        <f t="shared" si="90"/>
        <v>118.06741446236211</v>
      </c>
      <c r="M825" s="53">
        <v>60</v>
      </c>
      <c r="N825" s="57">
        <f t="shared" si="87"/>
        <v>118.57333333333332</v>
      </c>
      <c r="O825" s="38">
        <f t="shared" ca="1" si="91"/>
        <v>9</v>
      </c>
      <c r="P825" s="36">
        <f t="shared" ca="1" si="88"/>
        <v>6047.24</v>
      </c>
      <c r="Q825" s="36">
        <f t="shared" ca="1" si="89"/>
        <v>6047.24</v>
      </c>
      <c r="R825" s="53" t="s">
        <v>1327</v>
      </c>
    </row>
    <row r="826" spans="2:18" s="4" customFormat="1" ht="120" customHeight="1" x14ac:dyDescent="0.25">
      <c r="B826" s="24">
        <v>45583</v>
      </c>
      <c r="C826" s="24">
        <v>45639</v>
      </c>
      <c r="D826" s="56" t="s">
        <v>6033</v>
      </c>
      <c r="E826" s="26" t="s">
        <v>6047</v>
      </c>
      <c r="F826" s="53" t="s">
        <v>6084</v>
      </c>
      <c r="G826" s="927" t="s">
        <v>6106</v>
      </c>
      <c r="H826" s="466" t="s">
        <v>5836</v>
      </c>
      <c r="I826" s="53" t="s">
        <v>19</v>
      </c>
      <c r="J826" s="791">
        <v>7114.4</v>
      </c>
      <c r="K826" s="53">
        <v>60.257100000000001</v>
      </c>
      <c r="L826" s="59">
        <f t="shared" si="90"/>
        <v>118.06741446236211</v>
      </c>
      <c r="M826" s="53">
        <v>60</v>
      </c>
      <c r="N826" s="57">
        <f t="shared" si="87"/>
        <v>118.57333333333332</v>
      </c>
      <c r="O826" s="38">
        <f t="shared" ca="1" si="91"/>
        <v>9</v>
      </c>
      <c r="P826" s="36">
        <f t="shared" ca="1" si="88"/>
        <v>6047.24</v>
      </c>
      <c r="Q826" s="36">
        <f t="shared" ca="1" si="89"/>
        <v>6047.24</v>
      </c>
      <c r="R826" s="53" t="s">
        <v>1327</v>
      </c>
    </row>
    <row r="827" spans="2:18" s="4" customFormat="1" ht="120" customHeight="1" x14ac:dyDescent="0.25">
      <c r="B827" s="24">
        <v>45583</v>
      </c>
      <c r="C827" s="24">
        <v>45639</v>
      </c>
      <c r="D827" s="56" t="s">
        <v>6033</v>
      </c>
      <c r="E827" s="26" t="s">
        <v>6048</v>
      </c>
      <c r="F827" s="53" t="s">
        <v>6084</v>
      </c>
      <c r="G827" s="927" t="s">
        <v>6106</v>
      </c>
      <c r="H827" s="466" t="s">
        <v>5836</v>
      </c>
      <c r="I827" s="53" t="s">
        <v>19</v>
      </c>
      <c r="J827" s="791">
        <v>7114.4</v>
      </c>
      <c r="K827" s="53">
        <v>60.257100000000001</v>
      </c>
      <c r="L827" s="59">
        <f t="shared" si="90"/>
        <v>118.06741446236211</v>
      </c>
      <c r="M827" s="53">
        <v>60</v>
      </c>
      <c r="N827" s="57">
        <f t="shared" si="87"/>
        <v>118.57333333333332</v>
      </c>
      <c r="O827" s="38">
        <f t="shared" ca="1" si="91"/>
        <v>9</v>
      </c>
      <c r="P827" s="36">
        <f t="shared" ca="1" si="88"/>
        <v>6047.24</v>
      </c>
      <c r="Q827" s="36">
        <f t="shared" ca="1" si="89"/>
        <v>6047.24</v>
      </c>
      <c r="R827" s="53" t="s">
        <v>1327</v>
      </c>
    </row>
    <row r="828" spans="2:18" s="4" customFormat="1" ht="120" customHeight="1" x14ac:dyDescent="0.25">
      <c r="B828" s="24">
        <v>45583</v>
      </c>
      <c r="C828" s="24">
        <v>45639</v>
      </c>
      <c r="D828" s="56" t="s">
        <v>6033</v>
      </c>
      <c r="E828" s="26" t="s">
        <v>6049</v>
      </c>
      <c r="F828" s="53" t="s">
        <v>6084</v>
      </c>
      <c r="G828" s="927" t="s">
        <v>6106</v>
      </c>
      <c r="H828" s="466" t="s">
        <v>5836</v>
      </c>
      <c r="I828" s="53" t="s">
        <v>19</v>
      </c>
      <c r="J828" s="791">
        <v>7114.4</v>
      </c>
      <c r="K828" s="53">
        <v>60.257100000000001</v>
      </c>
      <c r="L828" s="59">
        <f t="shared" si="90"/>
        <v>118.06741446236211</v>
      </c>
      <c r="M828" s="53">
        <v>60</v>
      </c>
      <c r="N828" s="57">
        <f t="shared" si="87"/>
        <v>118.57333333333332</v>
      </c>
      <c r="O828" s="38">
        <f t="shared" ca="1" si="91"/>
        <v>9</v>
      </c>
      <c r="P828" s="36">
        <f t="shared" ca="1" si="88"/>
        <v>6047.24</v>
      </c>
      <c r="Q828" s="36">
        <f t="shared" ca="1" si="89"/>
        <v>6047.24</v>
      </c>
      <c r="R828" s="53" t="s">
        <v>1327</v>
      </c>
    </row>
    <row r="829" spans="2:18" s="4" customFormat="1" ht="120" customHeight="1" x14ac:dyDescent="0.25">
      <c r="B829" s="24">
        <v>45583</v>
      </c>
      <c r="C829" s="24">
        <v>45639</v>
      </c>
      <c r="D829" s="56" t="s">
        <v>6033</v>
      </c>
      <c r="E829" s="26" t="s">
        <v>6050</v>
      </c>
      <c r="F829" s="53" t="s">
        <v>6084</v>
      </c>
      <c r="G829" s="927" t="s">
        <v>6106</v>
      </c>
      <c r="H829" s="466" t="s">
        <v>5836</v>
      </c>
      <c r="I829" s="53" t="s">
        <v>19</v>
      </c>
      <c r="J829" s="791">
        <v>7114.4</v>
      </c>
      <c r="K829" s="53">
        <v>60.257100000000001</v>
      </c>
      <c r="L829" s="59">
        <f t="shared" si="90"/>
        <v>118.06741446236211</v>
      </c>
      <c r="M829" s="53">
        <v>60</v>
      </c>
      <c r="N829" s="57">
        <f t="shared" si="87"/>
        <v>118.57333333333332</v>
      </c>
      <c r="O829" s="38">
        <f t="shared" ca="1" si="91"/>
        <v>9</v>
      </c>
      <c r="P829" s="36">
        <f t="shared" ca="1" si="88"/>
        <v>6047.24</v>
      </c>
      <c r="Q829" s="36">
        <f t="shared" ca="1" si="89"/>
        <v>6047.24</v>
      </c>
      <c r="R829" s="53" t="s">
        <v>1327</v>
      </c>
    </row>
    <row r="830" spans="2:18" s="4" customFormat="1" ht="120" customHeight="1" x14ac:dyDescent="0.25">
      <c r="B830" s="24">
        <v>45583</v>
      </c>
      <c r="C830" s="24">
        <v>45639</v>
      </c>
      <c r="D830" s="56" t="s">
        <v>6033</v>
      </c>
      <c r="E830" s="26" t="s">
        <v>6051</v>
      </c>
      <c r="F830" s="53" t="s">
        <v>6084</v>
      </c>
      <c r="G830" s="927" t="s">
        <v>6106</v>
      </c>
      <c r="H830" s="466" t="s">
        <v>5836</v>
      </c>
      <c r="I830" s="53" t="s">
        <v>19</v>
      </c>
      <c r="J830" s="791">
        <v>7114.4</v>
      </c>
      <c r="K830" s="53">
        <v>60.257100000000001</v>
      </c>
      <c r="L830" s="59">
        <f t="shared" si="90"/>
        <v>118.06741446236211</v>
      </c>
      <c r="M830" s="53">
        <v>60</v>
      </c>
      <c r="N830" s="57">
        <f t="shared" si="87"/>
        <v>118.57333333333332</v>
      </c>
      <c r="O830" s="38">
        <f t="shared" ca="1" si="91"/>
        <v>9</v>
      </c>
      <c r="P830" s="36">
        <f t="shared" ca="1" si="88"/>
        <v>6047.24</v>
      </c>
      <c r="Q830" s="36">
        <f t="shared" ca="1" si="89"/>
        <v>6047.24</v>
      </c>
      <c r="R830" s="53" t="s">
        <v>1327</v>
      </c>
    </row>
    <row r="831" spans="2:18" s="4" customFormat="1" ht="120" customHeight="1" x14ac:dyDescent="0.25">
      <c r="B831" s="24">
        <v>45583</v>
      </c>
      <c r="C831" s="24">
        <v>45639</v>
      </c>
      <c r="D831" s="56" t="s">
        <v>6033</v>
      </c>
      <c r="E831" s="26" t="s">
        <v>6052</v>
      </c>
      <c r="F831" s="53" t="s">
        <v>6084</v>
      </c>
      <c r="G831" s="927" t="s">
        <v>6106</v>
      </c>
      <c r="H831" s="466" t="s">
        <v>5836</v>
      </c>
      <c r="I831" s="53" t="s">
        <v>19</v>
      </c>
      <c r="J831" s="791">
        <v>7114.4</v>
      </c>
      <c r="K831" s="53">
        <v>60.257100000000001</v>
      </c>
      <c r="L831" s="59">
        <f t="shared" si="90"/>
        <v>118.06741446236211</v>
      </c>
      <c r="M831" s="53">
        <v>60</v>
      </c>
      <c r="N831" s="57">
        <f t="shared" si="87"/>
        <v>118.57333333333332</v>
      </c>
      <c r="O831" s="38">
        <f t="shared" ca="1" si="91"/>
        <v>9</v>
      </c>
      <c r="P831" s="36">
        <f t="shared" ca="1" si="88"/>
        <v>6047.24</v>
      </c>
      <c r="Q831" s="36">
        <f t="shared" ca="1" si="89"/>
        <v>6047.24</v>
      </c>
      <c r="R831" s="53" t="s">
        <v>1327</v>
      </c>
    </row>
    <row r="832" spans="2:18" s="4" customFormat="1" ht="120" customHeight="1" x14ac:dyDescent="0.25">
      <c r="B832" s="24">
        <v>45583</v>
      </c>
      <c r="C832" s="24">
        <v>45639</v>
      </c>
      <c r="D832" s="56" t="s">
        <v>6033</v>
      </c>
      <c r="E832" s="26" t="s">
        <v>6053</v>
      </c>
      <c r="F832" s="53" t="s">
        <v>6084</v>
      </c>
      <c r="G832" s="927" t="s">
        <v>6106</v>
      </c>
      <c r="H832" s="466" t="s">
        <v>5836</v>
      </c>
      <c r="I832" s="53" t="s">
        <v>19</v>
      </c>
      <c r="J832" s="791">
        <v>7114.4</v>
      </c>
      <c r="K832" s="53">
        <v>60.257100000000001</v>
      </c>
      <c r="L832" s="59">
        <f t="shared" si="90"/>
        <v>118.06741446236211</v>
      </c>
      <c r="M832" s="53">
        <v>60</v>
      </c>
      <c r="N832" s="57">
        <f t="shared" si="87"/>
        <v>118.57333333333332</v>
      </c>
      <c r="O832" s="38">
        <f t="shared" ca="1" si="91"/>
        <v>9</v>
      </c>
      <c r="P832" s="36">
        <f t="shared" ca="1" si="88"/>
        <v>6047.24</v>
      </c>
      <c r="Q832" s="36">
        <f t="shared" ca="1" si="89"/>
        <v>6047.24</v>
      </c>
      <c r="R832" s="53" t="s">
        <v>1327</v>
      </c>
    </row>
    <row r="833" spans="2:18" s="4" customFormat="1" ht="120" customHeight="1" x14ac:dyDescent="0.25">
      <c r="B833" s="24">
        <v>45583</v>
      </c>
      <c r="C833" s="24">
        <v>45639</v>
      </c>
      <c r="D833" s="56" t="s">
        <v>6033</v>
      </c>
      <c r="E833" s="26" t="s">
        <v>6054</v>
      </c>
      <c r="F833" s="53" t="s">
        <v>6084</v>
      </c>
      <c r="G833" s="927" t="s">
        <v>6106</v>
      </c>
      <c r="H833" s="466" t="s">
        <v>5836</v>
      </c>
      <c r="I833" s="53" t="s">
        <v>19</v>
      </c>
      <c r="J833" s="791">
        <v>7114.4</v>
      </c>
      <c r="K833" s="53">
        <v>60.257100000000001</v>
      </c>
      <c r="L833" s="59">
        <f t="shared" si="90"/>
        <v>118.06741446236211</v>
      </c>
      <c r="M833" s="53">
        <v>60</v>
      </c>
      <c r="N833" s="57">
        <f t="shared" si="87"/>
        <v>118.57333333333332</v>
      </c>
      <c r="O833" s="38">
        <f t="shared" ca="1" si="91"/>
        <v>9</v>
      </c>
      <c r="P833" s="36">
        <f t="shared" ca="1" si="88"/>
        <v>6047.24</v>
      </c>
      <c r="Q833" s="36">
        <f t="shared" ca="1" si="89"/>
        <v>6047.24</v>
      </c>
      <c r="R833" s="53" t="s">
        <v>1327</v>
      </c>
    </row>
    <row r="834" spans="2:18" s="4" customFormat="1" ht="120" customHeight="1" x14ac:dyDescent="0.25">
      <c r="B834" s="24">
        <v>45583</v>
      </c>
      <c r="C834" s="24">
        <v>45639</v>
      </c>
      <c r="D834" s="56" t="s">
        <v>6033</v>
      </c>
      <c r="E834" s="26" t="s">
        <v>6055</v>
      </c>
      <c r="F834" s="53" t="s">
        <v>6084</v>
      </c>
      <c r="G834" s="927" t="s">
        <v>6106</v>
      </c>
      <c r="H834" s="466" t="s">
        <v>5836</v>
      </c>
      <c r="I834" s="53" t="s">
        <v>19</v>
      </c>
      <c r="J834" s="791">
        <v>7114.4</v>
      </c>
      <c r="K834" s="53">
        <v>60.257100000000001</v>
      </c>
      <c r="L834" s="59">
        <f t="shared" si="90"/>
        <v>118.06741446236211</v>
      </c>
      <c r="M834" s="53">
        <v>60</v>
      </c>
      <c r="N834" s="57">
        <f t="shared" si="87"/>
        <v>118.57333333333332</v>
      </c>
      <c r="O834" s="38">
        <f t="shared" ca="1" si="91"/>
        <v>9</v>
      </c>
      <c r="P834" s="36">
        <f t="shared" ca="1" si="88"/>
        <v>6047.24</v>
      </c>
      <c r="Q834" s="36">
        <f t="shared" ca="1" si="89"/>
        <v>6047.24</v>
      </c>
      <c r="R834" s="53" t="s">
        <v>1327</v>
      </c>
    </row>
    <row r="835" spans="2:18" s="4" customFormat="1" ht="120" customHeight="1" x14ac:dyDescent="0.25">
      <c r="B835" s="24">
        <v>45583</v>
      </c>
      <c r="C835" s="24">
        <v>45639</v>
      </c>
      <c r="D835" s="56" t="s">
        <v>6033</v>
      </c>
      <c r="E835" s="26" t="s">
        <v>6056</v>
      </c>
      <c r="F835" s="53" t="s">
        <v>6084</v>
      </c>
      <c r="G835" s="927" t="s">
        <v>6106</v>
      </c>
      <c r="H835" s="466" t="s">
        <v>5836</v>
      </c>
      <c r="I835" s="53" t="s">
        <v>19</v>
      </c>
      <c r="J835" s="791">
        <v>7114.4</v>
      </c>
      <c r="K835" s="53">
        <v>60.257100000000001</v>
      </c>
      <c r="L835" s="59">
        <f t="shared" si="90"/>
        <v>118.06741446236211</v>
      </c>
      <c r="M835" s="53">
        <v>60</v>
      </c>
      <c r="N835" s="57">
        <f t="shared" si="87"/>
        <v>118.57333333333332</v>
      </c>
      <c r="O835" s="38">
        <f t="shared" ca="1" si="91"/>
        <v>9</v>
      </c>
      <c r="P835" s="36">
        <f t="shared" ca="1" si="88"/>
        <v>6047.24</v>
      </c>
      <c r="Q835" s="36">
        <f t="shared" ca="1" si="89"/>
        <v>6047.24</v>
      </c>
      <c r="R835" s="53" t="s">
        <v>1327</v>
      </c>
    </row>
    <row r="836" spans="2:18" s="4" customFormat="1" ht="120" customHeight="1" x14ac:dyDescent="0.25">
      <c r="B836" s="24">
        <v>45583</v>
      </c>
      <c r="C836" s="24">
        <v>45639</v>
      </c>
      <c r="D836" s="56" t="s">
        <v>6033</v>
      </c>
      <c r="E836" s="26" t="s">
        <v>6057</v>
      </c>
      <c r="F836" s="53" t="s">
        <v>6084</v>
      </c>
      <c r="G836" s="927" t="s">
        <v>6106</v>
      </c>
      <c r="H836" s="466" t="s">
        <v>5836</v>
      </c>
      <c r="I836" s="53" t="s">
        <v>19</v>
      </c>
      <c r="J836" s="791">
        <v>7114.4</v>
      </c>
      <c r="K836" s="53">
        <v>60.257100000000001</v>
      </c>
      <c r="L836" s="59">
        <f t="shared" si="90"/>
        <v>118.06741446236211</v>
      </c>
      <c r="M836" s="53">
        <v>60</v>
      </c>
      <c r="N836" s="57">
        <f t="shared" si="87"/>
        <v>118.57333333333332</v>
      </c>
      <c r="O836" s="38">
        <f t="shared" ca="1" si="91"/>
        <v>9</v>
      </c>
      <c r="P836" s="36">
        <f t="shared" ca="1" si="88"/>
        <v>6047.24</v>
      </c>
      <c r="Q836" s="36">
        <f t="shared" ca="1" si="89"/>
        <v>6047.24</v>
      </c>
      <c r="R836" s="53" t="s">
        <v>1327</v>
      </c>
    </row>
    <row r="837" spans="2:18" s="4" customFormat="1" ht="120" customHeight="1" x14ac:dyDescent="0.25">
      <c r="B837" s="24">
        <v>45583</v>
      </c>
      <c r="C837" s="24">
        <v>45639</v>
      </c>
      <c r="D837" s="56" t="s">
        <v>6033</v>
      </c>
      <c r="E837" s="26" t="s">
        <v>6058</v>
      </c>
      <c r="F837" s="53" t="s">
        <v>6084</v>
      </c>
      <c r="G837" s="927" t="s">
        <v>6106</v>
      </c>
      <c r="H837" s="466" t="s">
        <v>5836</v>
      </c>
      <c r="I837" s="53" t="s">
        <v>19</v>
      </c>
      <c r="J837" s="791">
        <v>7114.4</v>
      </c>
      <c r="K837" s="53">
        <v>60.257100000000001</v>
      </c>
      <c r="L837" s="59">
        <f t="shared" si="90"/>
        <v>118.06741446236211</v>
      </c>
      <c r="M837" s="53">
        <v>60</v>
      </c>
      <c r="N837" s="57">
        <f t="shared" si="87"/>
        <v>118.57333333333332</v>
      </c>
      <c r="O837" s="38">
        <f t="shared" ca="1" si="91"/>
        <v>9</v>
      </c>
      <c r="P837" s="36">
        <f t="shared" ca="1" si="88"/>
        <v>6047.24</v>
      </c>
      <c r="Q837" s="36">
        <f t="shared" ca="1" si="89"/>
        <v>6047.24</v>
      </c>
      <c r="R837" s="53" t="s">
        <v>1327</v>
      </c>
    </row>
    <row r="838" spans="2:18" s="4" customFormat="1" ht="120" customHeight="1" x14ac:dyDescent="0.25">
      <c r="B838" s="24">
        <v>45583</v>
      </c>
      <c r="C838" s="24">
        <v>45639</v>
      </c>
      <c r="D838" s="56" t="s">
        <v>6033</v>
      </c>
      <c r="E838" s="26" t="s">
        <v>6059</v>
      </c>
      <c r="F838" s="53" t="s">
        <v>6084</v>
      </c>
      <c r="G838" s="927" t="s">
        <v>6106</v>
      </c>
      <c r="H838" s="466" t="s">
        <v>5836</v>
      </c>
      <c r="I838" s="53" t="s">
        <v>19</v>
      </c>
      <c r="J838" s="791">
        <v>7114.4</v>
      </c>
      <c r="K838" s="53">
        <v>60.257100000000001</v>
      </c>
      <c r="L838" s="59">
        <f t="shared" si="90"/>
        <v>118.06741446236211</v>
      </c>
      <c r="M838" s="53">
        <v>60</v>
      </c>
      <c r="N838" s="57">
        <f t="shared" si="87"/>
        <v>118.57333333333332</v>
      </c>
      <c r="O838" s="38">
        <f t="shared" ca="1" si="91"/>
        <v>9</v>
      </c>
      <c r="P838" s="36">
        <f t="shared" ca="1" si="88"/>
        <v>6047.24</v>
      </c>
      <c r="Q838" s="36">
        <f t="shared" ca="1" si="89"/>
        <v>6047.24</v>
      </c>
      <c r="R838" s="53" t="s">
        <v>1327</v>
      </c>
    </row>
    <row r="839" spans="2:18" s="4" customFormat="1" ht="120" customHeight="1" x14ac:dyDescent="0.25">
      <c r="B839" s="24">
        <v>45583</v>
      </c>
      <c r="C839" s="24">
        <v>45639</v>
      </c>
      <c r="D839" s="56" t="s">
        <v>6033</v>
      </c>
      <c r="E839" s="26" t="s">
        <v>6060</v>
      </c>
      <c r="F839" s="53" t="s">
        <v>6084</v>
      </c>
      <c r="G839" s="927" t="s">
        <v>6106</v>
      </c>
      <c r="H839" s="466" t="s">
        <v>5836</v>
      </c>
      <c r="I839" s="53" t="s">
        <v>19</v>
      </c>
      <c r="J839" s="791">
        <v>7114.4</v>
      </c>
      <c r="K839" s="53">
        <v>60.257100000000001</v>
      </c>
      <c r="L839" s="59">
        <f t="shared" si="90"/>
        <v>118.06741446236211</v>
      </c>
      <c r="M839" s="53">
        <v>60</v>
      </c>
      <c r="N839" s="57">
        <f t="shared" si="87"/>
        <v>118.57333333333332</v>
      </c>
      <c r="O839" s="38">
        <f t="shared" ca="1" si="91"/>
        <v>9</v>
      </c>
      <c r="P839" s="36">
        <f t="shared" ca="1" si="88"/>
        <v>6047.24</v>
      </c>
      <c r="Q839" s="36">
        <f t="shared" ca="1" si="89"/>
        <v>6047.24</v>
      </c>
      <c r="R839" s="53" t="s">
        <v>1327</v>
      </c>
    </row>
    <row r="840" spans="2:18" s="4" customFormat="1" ht="120" customHeight="1" x14ac:dyDescent="0.25">
      <c r="B840" s="24">
        <v>45583</v>
      </c>
      <c r="C840" s="24">
        <v>45639</v>
      </c>
      <c r="D840" s="56" t="s">
        <v>6033</v>
      </c>
      <c r="E840" s="26" t="s">
        <v>6061</v>
      </c>
      <c r="F840" s="53" t="s">
        <v>6084</v>
      </c>
      <c r="G840" s="927" t="s">
        <v>6106</v>
      </c>
      <c r="H840" s="466" t="s">
        <v>5836</v>
      </c>
      <c r="I840" s="53" t="s">
        <v>19</v>
      </c>
      <c r="J840" s="791">
        <v>7114.4</v>
      </c>
      <c r="K840" s="53">
        <v>60.257100000000001</v>
      </c>
      <c r="L840" s="59">
        <f t="shared" si="90"/>
        <v>118.06741446236211</v>
      </c>
      <c r="M840" s="53">
        <v>60</v>
      </c>
      <c r="N840" s="57">
        <f t="shared" si="87"/>
        <v>118.57333333333332</v>
      </c>
      <c r="O840" s="38">
        <f t="shared" ca="1" si="91"/>
        <v>9</v>
      </c>
      <c r="P840" s="36">
        <f t="shared" ca="1" si="88"/>
        <v>6047.24</v>
      </c>
      <c r="Q840" s="36">
        <f t="shared" ca="1" si="89"/>
        <v>6047.24</v>
      </c>
      <c r="R840" s="53" t="s">
        <v>1327</v>
      </c>
    </row>
    <row r="841" spans="2:18" s="4" customFormat="1" ht="120" customHeight="1" x14ac:dyDescent="0.25">
      <c r="B841" s="24">
        <v>45583</v>
      </c>
      <c r="C841" s="24">
        <v>45639</v>
      </c>
      <c r="D841" s="56" t="s">
        <v>6033</v>
      </c>
      <c r="E841" s="26" t="s">
        <v>6062</v>
      </c>
      <c r="F841" s="53" t="s">
        <v>6084</v>
      </c>
      <c r="G841" s="927" t="s">
        <v>6106</v>
      </c>
      <c r="H841" s="466" t="s">
        <v>5836</v>
      </c>
      <c r="I841" s="53" t="s">
        <v>19</v>
      </c>
      <c r="J841" s="791">
        <v>7114.4</v>
      </c>
      <c r="K841" s="53">
        <v>60.257100000000001</v>
      </c>
      <c r="L841" s="59">
        <f t="shared" si="90"/>
        <v>118.06741446236211</v>
      </c>
      <c r="M841" s="53">
        <v>60</v>
      </c>
      <c r="N841" s="57">
        <f t="shared" si="87"/>
        <v>118.57333333333332</v>
      </c>
      <c r="O841" s="38">
        <f t="shared" ca="1" si="91"/>
        <v>9</v>
      </c>
      <c r="P841" s="36">
        <f t="shared" ca="1" si="88"/>
        <v>6047.24</v>
      </c>
      <c r="Q841" s="36">
        <f t="shared" ca="1" si="89"/>
        <v>6047.24</v>
      </c>
      <c r="R841" s="53" t="s">
        <v>1327</v>
      </c>
    </row>
    <row r="842" spans="2:18" s="4" customFormat="1" ht="120" customHeight="1" x14ac:dyDescent="0.25">
      <c r="B842" s="24">
        <v>45583</v>
      </c>
      <c r="C842" s="24">
        <v>45639</v>
      </c>
      <c r="D842" s="56" t="s">
        <v>6033</v>
      </c>
      <c r="E842" s="26" t="s">
        <v>6063</v>
      </c>
      <c r="F842" s="53" t="s">
        <v>6084</v>
      </c>
      <c r="G842" s="927" t="s">
        <v>6106</v>
      </c>
      <c r="H842" s="466" t="s">
        <v>5836</v>
      </c>
      <c r="I842" s="53" t="s">
        <v>19</v>
      </c>
      <c r="J842" s="791">
        <v>7114.4</v>
      </c>
      <c r="K842" s="53">
        <v>60.257100000000001</v>
      </c>
      <c r="L842" s="59">
        <f t="shared" si="90"/>
        <v>118.06741446236211</v>
      </c>
      <c r="M842" s="53">
        <v>60</v>
      </c>
      <c r="N842" s="57">
        <f t="shared" si="87"/>
        <v>118.57333333333332</v>
      </c>
      <c r="O842" s="38">
        <f t="shared" ca="1" si="91"/>
        <v>9</v>
      </c>
      <c r="P842" s="36">
        <f t="shared" ca="1" si="88"/>
        <v>6047.24</v>
      </c>
      <c r="Q842" s="36">
        <f t="shared" ca="1" si="89"/>
        <v>6047.24</v>
      </c>
      <c r="R842" s="53" t="s">
        <v>1327</v>
      </c>
    </row>
    <row r="843" spans="2:18" s="4" customFormat="1" ht="120" customHeight="1" x14ac:dyDescent="0.25">
      <c r="B843" s="24">
        <v>45583</v>
      </c>
      <c r="C843" s="24">
        <v>45639</v>
      </c>
      <c r="D843" s="56" t="s">
        <v>6033</v>
      </c>
      <c r="E843" s="26" t="s">
        <v>6064</v>
      </c>
      <c r="F843" s="53" t="s">
        <v>6084</v>
      </c>
      <c r="G843" s="927" t="s">
        <v>6106</v>
      </c>
      <c r="H843" s="466" t="s">
        <v>5836</v>
      </c>
      <c r="I843" s="53" t="s">
        <v>19</v>
      </c>
      <c r="J843" s="791">
        <v>7114.4</v>
      </c>
      <c r="K843" s="53">
        <v>60.257100000000001</v>
      </c>
      <c r="L843" s="59">
        <f t="shared" si="90"/>
        <v>118.06741446236211</v>
      </c>
      <c r="M843" s="53">
        <v>60</v>
      </c>
      <c r="N843" s="57">
        <f t="shared" si="87"/>
        <v>118.57333333333332</v>
      </c>
      <c r="O843" s="38">
        <f t="shared" ca="1" si="91"/>
        <v>9</v>
      </c>
      <c r="P843" s="36">
        <f t="shared" ca="1" si="88"/>
        <v>6047.24</v>
      </c>
      <c r="Q843" s="36">
        <f t="shared" ca="1" si="89"/>
        <v>6047.24</v>
      </c>
      <c r="R843" s="53" t="s">
        <v>1327</v>
      </c>
    </row>
    <row r="844" spans="2:18" s="4" customFormat="1" ht="120" customHeight="1" x14ac:dyDescent="0.25">
      <c r="B844" s="24">
        <v>45583</v>
      </c>
      <c r="C844" s="24">
        <v>45639</v>
      </c>
      <c r="D844" s="56" t="s">
        <v>6033</v>
      </c>
      <c r="E844" s="26" t="s">
        <v>6065</v>
      </c>
      <c r="F844" s="53" t="s">
        <v>6084</v>
      </c>
      <c r="G844" s="927" t="s">
        <v>6106</v>
      </c>
      <c r="H844" s="466" t="s">
        <v>5836</v>
      </c>
      <c r="I844" s="53" t="s">
        <v>19</v>
      </c>
      <c r="J844" s="791">
        <v>7114.4</v>
      </c>
      <c r="K844" s="53">
        <v>60.257100000000001</v>
      </c>
      <c r="L844" s="59">
        <f t="shared" si="90"/>
        <v>118.06741446236211</v>
      </c>
      <c r="M844" s="53">
        <v>60</v>
      </c>
      <c r="N844" s="57">
        <f t="shared" si="87"/>
        <v>118.57333333333332</v>
      </c>
      <c r="O844" s="38">
        <f t="shared" ca="1" si="91"/>
        <v>9</v>
      </c>
      <c r="P844" s="36">
        <f t="shared" ca="1" si="88"/>
        <v>6047.24</v>
      </c>
      <c r="Q844" s="36">
        <f t="shared" ca="1" si="89"/>
        <v>6047.24</v>
      </c>
      <c r="R844" s="53" t="s">
        <v>1327</v>
      </c>
    </row>
    <row r="845" spans="2:18" s="4" customFormat="1" ht="120" customHeight="1" x14ac:dyDescent="0.25">
      <c r="B845" s="24">
        <v>45583</v>
      </c>
      <c r="C845" s="24">
        <v>45639</v>
      </c>
      <c r="D845" s="56" t="s">
        <v>6033</v>
      </c>
      <c r="E845" s="26" t="s">
        <v>6066</v>
      </c>
      <c r="F845" s="53" t="s">
        <v>6084</v>
      </c>
      <c r="G845" s="927" t="s">
        <v>6106</v>
      </c>
      <c r="H845" s="466" t="s">
        <v>5836</v>
      </c>
      <c r="I845" s="53" t="s">
        <v>19</v>
      </c>
      <c r="J845" s="791">
        <v>7114.4</v>
      </c>
      <c r="K845" s="53">
        <v>60.257100000000001</v>
      </c>
      <c r="L845" s="59">
        <f t="shared" si="90"/>
        <v>118.06741446236211</v>
      </c>
      <c r="M845" s="53">
        <v>60</v>
      </c>
      <c r="N845" s="57">
        <f t="shared" si="87"/>
        <v>118.57333333333332</v>
      </c>
      <c r="O845" s="38">
        <f t="shared" ca="1" si="91"/>
        <v>9</v>
      </c>
      <c r="P845" s="36">
        <f t="shared" ca="1" si="88"/>
        <v>6047.24</v>
      </c>
      <c r="Q845" s="36">
        <f t="shared" ca="1" si="89"/>
        <v>6047.24</v>
      </c>
      <c r="R845" s="53" t="s">
        <v>1327</v>
      </c>
    </row>
    <row r="846" spans="2:18" s="4" customFormat="1" ht="120" customHeight="1" x14ac:dyDescent="0.25">
      <c r="B846" s="24">
        <v>45583</v>
      </c>
      <c r="C846" s="24">
        <v>45639</v>
      </c>
      <c r="D846" s="56" t="s">
        <v>6033</v>
      </c>
      <c r="E846" s="26" t="s">
        <v>6067</v>
      </c>
      <c r="F846" s="53" t="s">
        <v>6084</v>
      </c>
      <c r="G846" s="927" t="s">
        <v>6106</v>
      </c>
      <c r="H846" s="466" t="s">
        <v>5836</v>
      </c>
      <c r="I846" s="53" t="s">
        <v>19</v>
      </c>
      <c r="J846" s="791">
        <v>7114.4</v>
      </c>
      <c r="K846" s="53">
        <v>60.257100000000001</v>
      </c>
      <c r="L846" s="59">
        <f t="shared" si="90"/>
        <v>118.06741446236211</v>
      </c>
      <c r="M846" s="53">
        <v>60</v>
      </c>
      <c r="N846" s="57">
        <f t="shared" si="87"/>
        <v>118.57333333333332</v>
      </c>
      <c r="O846" s="38">
        <f t="shared" ca="1" si="91"/>
        <v>9</v>
      </c>
      <c r="P846" s="36">
        <f t="shared" ca="1" si="88"/>
        <v>6047.24</v>
      </c>
      <c r="Q846" s="36">
        <f t="shared" ca="1" si="89"/>
        <v>6047.24</v>
      </c>
      <c r="R846" s="53" t="s">
        <v>1327</v>
      </c>
    </row>
    <row r="847" spans="2:18" s="4" customFormat="1" ht="120" customHeight="1" x14ac:dyDescent="0.25">
      <c r="B847" s="24">
        <v>45583</v>
      </c>
      <c r="C847" s="24">
        <v>45639</v>
      </c>
      <c r="D847" s="56" t="s">
        <v>6033</v>
      </c>
      <c r="E847" s="26" t="s">
        <v>6068</v>
      </c>
      <c r="F847" s="53" t="s">
        <v>6084</v>
      </c>
      <c r="G847" s="927" t="s">
        <v>6106</v>
      </c>
      <c r="H847" s="466" t="s">
        <v>5836</v>
      </c>
      <c r="I847" s="53" t="s">
        <v>19</v>
      </c>
      <c r="J847" s="791">
        <v>7114.4</v>
      </c>
      <c r="K847" s="53">
        <v>60.257100000000001</v>
      </c>
      <c r="L847" s="59">
        <f t="shared" si="90"/>
        <v>118.06741446236211</v>
      </c>
      <c r="M847" s="53">
        <v>60</v>
      </c>
      <c r="N847" s="57">
        <f t="shared" si="87"/>
        <v>118.57333333333332</v>
      </c>
      <c r="O847" s="38">
        <f t="shared" ca="1" si="91"/>
        <v>9</v>
      </c>
      <c r="P847" s="36">
        <f t="shared" ca="1" si="88"/>
        <v>6047.24</v>
      </c>
      <c r="Q847" s="36">
        <f t="shared" ca="1" si="89"/>
        <v>6047.24</v>
      </c>
      <c r="R847" s="53" t="s">
        <v>1327</v>
      </c>
    </row>
    <row r="848" spans="2:18" s="4" customFormat="1" ht="120" customHeight="1" x14ac:dyDescent="0.25">
      <c r="B848" s="24">
        <v>45583</v>
      </c>
      <c r="C848" s="24">
        <v>45639</v>
      </c>
      <c r="D848" s="56" t="s">
        <v>6033</v>
      </c>
      <c r="E848" s="26" t="s">
        <v>6069</v>
      </c>
      <c r="F848" s="53" t="s">
        <v>6084</v>
      </c>
      <c r="G848" s="927" t="s">
        <v>6106</v>
      </c>
      <c r="H848" s="466" t="s">
        <v>5836</v>
      </c>
      <c r="I848" s="53" t="s">
        <v>19</v>
      </c>
      <c r="J848" s="791">
        <v>7114.4</v>
      </c>
      <c r="K848" s="53">
        <v>60.257100000000001</v>
      </c>
      <c r="L848" s="59">
        <f t="shared" si="90"/>
        <v>118.06741446236211</v>
      </c>
      <c r="M848" s="53">
        <v>60</v>
      </c>
      <c r="N848" s="57">
        <f t="shared" si="87"/>
        <v>118.57333333333332</v>
      </c>
      <c r="O848" s="38">
        <f t="shared" ca="1" si="91"/>
        <v>9</v>
      </c>
      <c r="P848" s="36">
        <f t="shared" ca="1" si="88"/>
        <v>6047.24</v>
      </c>
      <c r="Q848" s="36">
        <f t="shared" ca="1" si="89"/>
        <v>6047.24</v>
      </c>
      <c r="R848" s="53" t="s">
        <v>1327</v>
      </c>
    </row>
    <row r="849" spans="2:18" s="4" customFormat="1" ht="120" customHeight="1" x14ac:dyDescent="0.25">
      <c r="B849" s="24">
        <v>45583</v>
      </c>
      <c r="C849" s="24">
        <v>45639</v>
      </c>
      <c r="D849" s="56" t="s">
        <v>6033</v>
      </c>
      <c r="E849" s="26" t="s">
        <v>6070</v>
      </c>
      <c r="F849" s="53" t="s">
        <v>6084</v>
      </c>
      <c r="G849" s="927" t="s">
        <v>6106</v>
      </c>
      <c r="H849" s="466" t="s">
        <v>5836</v>
      </c>
      <c r="I849" s="53" t="s">
        <v>19</v>
      </c>
      <c r="J849" s="791">
        <v>7114.4</v>
      </c>
      <c r="K849" s="53">
        <v>60.257100000000001</v>
      </c>
      <c r="L849" s="59">
        <f t="shared" si="90"/>
        <v>118.06741446236211</v>
      </c>
      <c r="M849" s="53">
        <v>60</v>
      </c>
      <c r="N849" s="57">
        <f t="shared" si="87"/>
        <v>118.57333333333332</v>
      </c>
      <c r="O849" s="38">
        <f t="shared" ca="1" si="91"/>
        <v>9</v>
      </c>
      <c r="P849" s="36">
        <f t="shared" ca="1" si="88"/>
        <v>6047.24</v>
      </c>
      <c r="Q849" s="36">
        <f t="shared" ca="1" si="89"/>
        <v>6047.24</v>
      </c>
      <c r="R849" s="53" t="s">
        <v>1327</v>
      </c>
    </row>
    <row r="850" spans="2:18" s="4" customFormat="1" ht="120" customHeight="1" x14ac:dyDescent="0.25">
      <c r="B850" s="24">
        <v>45583</v>
      </c>
      <c r="C850" s="24">
        <v>45639</v>
      </c>
      <c r="D850" s="56" t="s">
        <v>6033</v>
      </c>
      <c r="E850" s="26" t="s">
        <v>6071</v>
      </c>
      <c r="F850" s="53" t="s">
        <v>6084</v>
      </c>
      <c r="G850" s="927" t="s">
        <v>6106</v>
      </c>
      <c r="H850" s="466" t="s">
        <v>5836</v>
      </c>
      <c r="I850" s="53" t="s">
        <v>19</v>
      </c>
      <c r="J850" s="791">
        <v>7114.4</v>
      </c>
      <c r="K850" s="53">
        <v>60.257100000000001</v>
      </c>
      <c r="L850" s="59">
        <f t="shared" si="90"/>
        <v>118.06741446236211</v>
      </c>
      <c r="M850" s="53">
        <v>60</v>
      </c>
      <c r="N850" s="57">
        <f t="shared" si="87"/>
        <v>118.57333333333332</v>
      </c>
      <c r="O850" s="38">
        <f t="shared" ca="1" si="91"/>
        <v>9</v>
      </c>
      <c r="P850" s="36">
        <f t="shared" ca="1" si="88"/>
        <v>6047.24</v>
      </c>
      <c r="Q850" s="36">
        <f t="shared" ca="1" si="89"/>
        <v>6047.24</v>
      </c>
      <c r="R850" s="53" t="s">
        <v>1327</v>
      </c>
    </row>
    <row r="851" spans="2:18" s="4" customFormat="1" ht="120" customHeight="1" x14ac:dyDescent="0.25">
      <c r="B851" s="24">
        <v>45583</v>
      </c>
      <c r="C851" s="24">
        <v>45639</v>
      </c>
      <c r="D851" s="56" t="s">
        <v>6033</v>
      </c>
      <c r="E851" s="26" t="s">
        <v>6072</v>
      </c>
      <c r="F851" s="53" t="s">
        <v>6084</v>
      </c>
      <c r="G851" s="927" t="s">
        <v>6106</v>
      </c>
      <c r="H851" s="466" t="s">
        <v>5836</v>
      </c>
      <c r="I851" s="53" t="s">
        <v>19</v>
      </c>
      <c r="J851" s="791">
        <v>7114.4</v>
      </c>
      <c r="K851" s="53">
        <v>60.257100000000001</v>
      </c>
      <c r="L851" s="59">
        <f t="shared" si="90"/>
        <v>118.06741446236211</v>
      </c>
      <c r="M851" s="53">
        <v>60</v>
      </c>
      <c r="N851" s="57">
        <f t="shared" si="87"/>
        <v>118.57333333333332</v>
      </c>
      <c r="O851" s="38">
        <f t="shared" ca="1" si="91"/>
        <v>9</v>
      </c>
      <c r="P851" s="36">
        <f t="shared" ca="1" si="88"/>
        <v>6047.24</v>
      </c>
      <c r="Q851" s="36">
        <f t="shared" ca="1" si="89"/>
        <v>6047.24</v>
      </c>
      <c r="R851" s="53" t="s">
        <v>1327</v>
      </c>
    </row>
    <row r="852" spans="2:18" s="4" customFormat="1" ht="120" customHeight="1" x14ac:dyDescent="0.25">
      <c r="B852" s="24">
        <v>45583</v>
      </c>
      <c r="C852" s="24">
        <v>45639</v>
      </c>
      <c r="D852" s="56" t="s">
        <v>6033</v>
      </c>
      <c r="E852" s="26" t="s">
        <v>6073</v>
      </c>
      <c r="F852" s="53" t="s">
        <v>6084</v>
      </c>
      <c r="G852" s="927" t="s">
        <v>6106</v>
      </c>
      <c r="H852" s="466" t="s">
        <v>5836</v>
      </c>
      <c r="I852" s="53" t="s">
        <v>19</v>
      </c>
      <c r="J852" s="791">
        <v>7114.4</v>
      </c>
      <c r="K852" s="53">
        <v>60.257100000000001</v>
      </c>
      <c r="L852" s="59">
        <f t="shared" si="90"/>
        <v>118.06741446236211</v>
      </c>
      <c r="M852" s="53">
        <v>60</v>
      </c>
      <c r="N852" s="57">
        <f t="shared" si="87"/>
        <v>118.57333333333332</v>
      </c>
      <c r="O852" s="38">
        <f t="shared" ca="1" si="91"/>
        <v>9</v>
      </c>
      <c r="P852" s="36">
        <f t="shared" ca="1" si="88"/>
        <v>6047.24</v>
      </c>
      <c r="Q852" s="36">
        <f t="shared" ca="1" si="89"/>
        <v>6047.24</v>
      </c>
      <c r="R852" s="53" t="s">
        <v>1327</v>
      </c>
    </row>
    <row r="853" spans="2:18" s="4" customFormat="1" ht="120" customHeight="1" x14ac:dyDescent="0.25">
      <c r="B853" s="24">
        <v>45583</v>
      </c>
      <c r="C853" s="24">
        <v>45639</v>
      </c>
      <c r="D853" s="56" t="s">
        <v>6033</v>
      </c>
      <c r="E853" s="26" t="s">
        <v>6074</v>
      </c>
      <c r="F853" s="53" t="s">
        <v>6084</v>
      </c>
      <c r="G853" s="927" t="s">
        <v>6106</v>
      </c>
      <c r="H853" s="466" t="s">
        <v>5836</v>
      </c>
      <c r="I853" s="53" t="s">
        <v>19</v>
      </c>
      <c r="J853" s="791">
        <v>7114.4</v>
      </c>
      <c r="K853" s="53">
        <v>60.257100000000001</v>
      </c>
      <c r="L853" s="59">
        <f t="shared" si="90"/>
        <v>118.06741446236211</v>
      </c>
      <c r="M853" s="53">
        <v>60</v>
      </c>
      <c r="N853" s="57">
        <f t="shared" si="87"/>
        <v>118.57333333333332</v>
      </c>
      <c r="O853" s="38">
        <f t="shared" ca="1" si="91"/>
        <v>9</v>
      </c>
      <c r="P853" s="36">
        <f t="shared" ca="1" si="88"/>
        <v>6047.24</v>
      </c>
      <c r="Q853" s="36">
        <f t="shared" ca="1" si="89"/>
        <v>6047.24</v>
      </c>
      <c r="R853" s="53" t="s">
        <v>1327</v>
      </c>
    </row>
    <row r="854" spans="2:18" s="4" customFormat="1" ht="120" customHeight="1" x14ac:dyDescent="0.25">
      <c r="B854" s="24">
        <v>45583</v>
      </c>
      <c r="C854" s="24">
        <v>45639</v>
      </c>
      <c r="D854" s="56" t="s">
        <v>6033</v>
      </c>
      <c r="E854" s="26" t="s">
        <v>6075</v>
      </c>
      <c r="F854" s="53" t="s">
        <v>6084</v>
      </c>
      <c r="G854" s="927" t="s">
        <v>6106</v>
      </c>
      <c r="H854" s="466" t="s">
        <v>5836</v>
      </c>
      <c r="I854" s="53" t="s">
        <v>19</v>
      </c>
      <c r="J854" s="791">
        <v>7114.4</v>
      </c>
      <c r="K854" s="53">
        <v>60.257100000000001</v>
      </c>
      <c r="L854" s="59">
        <f t="shared" si="90"/>
        <v>118.06741446236211</v>
      </c>
      <c r="M854" s="53">
        <v>60</v>
      </c>
      <c r="N854" s="57">
        <f t="shared" si="87"/>
        <v>118.57333333333332</v>
      </c>
      <c r="O854" s="38">
        <f t="shared" ca="1" si="91"/>
        <v>9</v>
      </c>
      <c r="P854" s="36">
        <f t="shared" ca="1" si="88"/>
        <v>6047.24</v>
      </c>
      <c r="Q854" s="36">
        <f t="shared" ca="1" si="89"/>
        <v>6047.24</v>
      </c>
      <c r="R854" s="53" t="s">
        <v>1327</v>
      </c>
    </row>
    <row r="855" spans="2:18" s="4" customFormat="1" ht="120" customHeight="1" x14ac:dyDescent="0.25">
      <c r="B855" s="24">
        <v>45583</v>
      </c>
      <c r="C855" s="24">
        <v>45639</v>
      </c>
      <c r="D855" s="56" t="s">
        <v>6033</v>
      </c>
      <c r="E855" s="26" t="s">
        <v>6076</v>
      </c>
      <c r="F855" s="53" t="s">
        <v>6084</v>
      </c>
      <c r="G855" s="927" t="s">
        <v>6106</v>
      </c>
      <c r="H855" s="466" t="s">
        <v>5836</v>
      </c>
      <c r="I855" s="53" t="s">
        <v>19</v>
      </c>
      <c r="J855" s="791">
        <v>7114.4</v>
      </c>
      <c r="K855" s="53">
        <v>60.257100000000001</v>
      </c>
      <c r="L855" s="59">
        <f t="shared" si="90"/>
        <v>118.06741446236211</v>
      </c>
      <c r="M855" s="53">
        <v>60</v>
      </c>
      <c r="N855" s="57">
        <f t="shared" si="87"/>
        <v>118.57333333333332</v>
      </c>
      <c r="O855" s="38">
        <f t="shared" ca="1" si="91"/>
        <v>9</v>
      </c>
      <c r="P855" s="36">
        <f t="shared" ca="1" si="88"/>
        <v>6047.24</v>
      </c>
      <c r="Q855" s="36">
        <f t="shared" ca="1" si="89"/>
        <v>6047.24</v>
      </c>
      <c r="R855" s="53" t="s">
        <v>1327</v>
      </c>
    </row>
    <row r="856" spans="2:18" s="4" customFormat="1" ht="120" customHeight="1" x14ac:dyDescent="0.25">
      <c r="B856" s="24">
        <v>45583</v>
      </c>
      <c r="C856" s="24">
        <v>45639</v>
      </c>
      <c r="D856" s="56" t="s">
        <v>6033</v>
      </c>
      <c r="E856" s="26" t="s">
        <v>6077</v>
      </c>
      <c r="F856" s="53" t="s">
        <v>6084</v>
      </c>
      <c r="G856" s="927" t="s">
        <v>6106</v>
      </c>
      <c r="H856" s="466" t="s">
        <v>5836</v>
      </c>
      <c r="I856" s="53" t="s">
        <v>19</v>
      </c>
      <c r="J856" s="791">
        <v>7114.4</v>
      </c>
      <c r="K856" s="53">
        <v>60.257100000000001</v>
      </c>
      <c r="L856" s="59">
        <f t="shared" si="90"/>
        <v>118.06741446236211</v>
      </c>
      <c r="M856" s="53">
        <v>60</v>
      </c>
      <c r="N856" s="57">
        <f t="shared" si="87"/>
        <v>118.57333333333332</v>
      </c>
      <c r="O856" s="38">
        <f t="shared" ca="1" si="91"/>
        <v>9</v>
      </c>
      <c r="P856" s="36">
        <f t="shared" ca="1" si="88"/>
        <v>6047.24</v>
      </c>
      <c r="Q856" s="36">
        <f t="shared" ca="1" si="89"/>
        <v>6047.24</v>
      </c>
      <c r="R856" s="53" t="s">
        <v>1327</v>
      </c>
    </row>
    <row r="857" spans="2:18" s="4" customFormat="1" ht="120" customHeight="1" x14ac:dyDescent="0.25">
      <c r="B857" s="24">
        <v>45583</v>
      </c>
      <c r="C857" s="24">
        <v>45639</v>
      </c>
      <c r="D857" s="56" t="s">
        <v>6033</v>
      </c>
      <c r="E857" s="26" t="s">
        <v>6078</v>
      </c>
      <c r="F857" s="53" t="s">
        <v>6084</v>
      </c>
      <c r="G857" s="927" t="s">
        <v>6106</v>
      </c>
      <c r="H857" s="466" t="s">
        <v>5836</v>
      </c>
      <c r="I857" s="53" t="s">
        <v>19</v>
      </c>
      <c r="J857" s="791">
        <v>7114.4</v>
      </c>
      <c r="K857" s="53">
        <v>60.257100000000001</v>
      </c>
      <c r="L857" s="59">
        <f t="shared" si="90"/>
        <v>118.06741446236211</v>
      </c>
      <c r="M857" s="53">
        <v>60</v>
      </c>
      <c r="N857" s="57">
        <f t="shared" si="87"/>
        <v>118.57333333333332</v>
      </c>
      <c r="O857" s="38">
        <f t="shared" ca="1" si="91"/>
        <v>9</v>
      </c>
      <c r="P857" s="36">
        <f t="shared" ca="1" si="88"/>
        <v>6047.24</v>
      </c>
      <c r="Q857" s="36">
        <f t="shared" ca="1" si="89"/>
        <v>6047.24</v>
      </c>
      <c r="R857" s="53" t="s">
        <v>1327</v>
      </c>
    </row>
    <row r="858" spans="2:18" s="4" customFormat="1" ht="120" customHeight="1" x14ac:dyDescent="0.25">
      <c r="B858" s="24">
        <v>45583</v>
      </c>
      <c r="C858" s="24">
        <v>45639</v>
      </c>
      <c r="D858" s="56" t="s">
        <v>6033</v>
      </c>
      <c r="E858" s="26" t="s">
        <v>6079</v>
      </c>
      <c r="F858" s="53" t="s">
        <v>6084</v>
      </c>
      <c r="G858" s="927" t="s">
        <v>6106</v>
      </c>
      <c r="H858" s="466" t="s">
        <v>5836</v>
      </c>
      <c r="I858" s="53" t="s">
        <v>19</v>
      </c>
      <c r="J858" s="791">
        <v>7114.4</v>
      </c>
      <c r="K858" s="53">
        <v>60.257100000000001</v>
      </c>
      <c r="L858" s="59">
        <f t="shared" si="90"/>
        <v>118.06741446236211</v>
      </c>
      <c r="M858" s="53">
        <v>60</v>
      </c>
      <c r="N858" s="57">
        <f t="shared" si="87"/>
        <v>118.57333333333332</v>
      </c>
      <c r="O858" s="38">
        <f t="shared" ca="1" si="91"/>
        <v>9</v>
      </c>
      <c r="P858" s="36">
        <f t="shared" ca="1" si="88"/>
        <v>6047.24</v>
      </c>
      <c r="Q858" s="36">
        <f t="shared" ca="1" si="89"/>
        <v>6047.24</v>
      </c>
      <c r="R858" s="53" t="s">
        <v>1327</v>
      </c>
    </row>
    <row r="859" spans="2:18" s="4" customFormat="1" ht="120" customHeight="1" x14ac:dyDescent="0.25">
      <c r="B859" s="24">
        <v>45583</v>
      </c>
      <c r="C859" s="24">
        <v>45639</v>
      </c>
      <c r="D859" s="56" t="s">
        <v>6033</v>
      </c>
      <c r="E859" s="26" t="s">
        <v>6080</v>
      </c>
      <c r="F859" s="53" t="s">
        <v>6084</v>
      </c>
      <c r="G859" s="927" t="s">
        <v>6106</v>
      </c>
      <c r="H859" s="466" t="s">
        <v>5836</v>
      </c>
      <c r="I859" s="53" t="s">
        <v>19</v>
      </c>
      <c r="J859" s="791">
        <v>7114.4</v>
      </c>
      <c r="K859" s="53">
        <v>60.257100000000001</v>
      </c>
      <c r="L859" s="59">
        <f t="shared" si="90"/>
        <v>118.06741446236211</v>
      </c>
      <c r="M859" s="53">
        <v>60</v>
      </c>
      <c r="N859" s="57">
        <f t="shared" si="87"/>
        <v>118.57333333333332</v>
      </c>
      <c r="O859" s="38">
        <f t="shared" ca="1" si="91"/>
        <v>9</v>
      </c>
      <c r="P859" s="36">
        <f t="shared" ca="1" si="88"/>
        <v>6047.24</v>
      </c>
      <c r="Q859" s="36">
        <f t="shared" ca="1" si="89"/>
        <v>6047.24</v>
      </c>
      <c r="R859" s="53" t="s">
        <v>1327</v>
      </c>
    </row>
    <row r="860" spans="2:18" s="4" customFormat="1" ht="120" customHeight="1" x14ac:dyDescent="0.25">
      <c r="B860" s="24">
        <v>45583</v>
      </c>
      <c r="C860" s="24">
        <v>45639</v>
      </c>
      <c r="D860" s="56" t="s">
        <v>6033</v>
      </c>
      <c r="E860" s="26" t="s">
        <v>6081</v>
      </c>
      <c r="F860" s="53" t="s">
        <v>6084</v>
      </c>
      <c r="G860" s="927" t="s">
        <v>6106</v>
      </c>
      <c r="H860" s="466" t="s">
        <v>5836</v>
      </c>
      <c r="I860" s="53" t="s">
        <v>19</v>
      </c>
      <c r="J860" s="791">
        <v>7114.4</v>
      </c>
      <c r="K860" s="53">
        <v>60.257100000000001</v>
      </c>
      <c r="L860" s="59">
        <f t="shared" si="90"/>
        <v>118.06741446236211</v>
      </c>
      <c r="M860" s="53">
        <v>60</v>
      </c>
      <c r="N860" s="57">
        <f t="shared" si="87"/>
        <v>118.57333333333332</v>
      </c>
      <c r="O860" s="38">
        <f t="shared" ca="1" si="91"/>
        <v>9</v>
      </c>
      <c r="P860" s="36">
        <f t="shared" ca="1" si="88"/>
        <v>6047.24</v>
      </c>
      <c r="Q860" s="36">
        <f t="shared" ca="1" si="89"/>
        <v>6047.24</v>
      </c>
      <c r="R860" s="53" t="s">
        <v>1327</v>
      </c>
    </row>
    <row r="861" spans="2:18" s="4" customFormat="1" ht="120" customHeight="1" x14ac:dyDescent="0.25">
      <c r="B861" s="24">
        <v>45583</v>
      </c>
      <c r="C861" s="24">
        <v>45639</v>
      </c>
      <c r="D861" s="56" t="s">
        <v>6033</v>
      </c>
      <c r="E861" s="26" t="s">
        <v>6082</v>
      </c>
      <c r="F861" s="53" t="s">
        <v>6084</v>
      </c>
      <c r="G861" s="927" t="s">
        <v>6106</v>
      </c>
      <c r="H861" s="466" t="s">
        <v>5836</v>
      </c>
      <c r="I861" s="53" t="s">
        <v>19</v>
      </c>
      <c r="J861" s="791">
        <v>7114.4</v>
      </c>
      <c r="K861" s="53">
        <v>60.257100000000001</v>
      </c>
      <c r="L861" s="59">
        <f t="shared" si="90"/>
        <v>118.06741446236211</v>
      </c>
      <c r="M861" s="53">
        <v>60</v>
      </c>
      <c r="N861" s="57">
        <f t="shared" si="87"/>
        <v>118.57333333333332</v>
      </c>
      <c r="O861" s="38">
        <f t="shared" ca="1" si="91"/>
        <v>9</v>
      </c>
      <c r="P861" s="36">
        <f t="shared" ca="1" si="88"/>
        <v>6047.24</v>
      </c>
      <c r="Q861" s="36">
        <f t="shared" ca="1" si="89"/>
        <v>6047.24</v>
      </c>
      <c r="R861" s="53" t="s">
        <v>1327</v>
      </c>
    </row>
    <row r="862" spans="2:18" s="4" customFormat="1" ht="120" customHeight="1" x14ac:dyDescent="0.25">
      <c r="B862" s="24">
        <v>45583</v>
      </c>
      <c r="C862" s="24">
        <v>45639</v>
      </c>
      <c r="D862" s="56" t="s">
        <v>6033</v>
      </c>
      <c r="E862" s="26" t="s">
        <v>6083</v>
      </c>
      <c r="F862" s="53" t="s">
        <v>6084</v>
      </c>
      <c r="G862" s="927" t="s">
        <v>6106</v>
      </c>
      <c r="H862" s="466" t="s">
        <v>5836</v>
      </c>
      <c r="I862" s="53" t="s">
        <v>19</v>
      </c>
      <c r="J862" s="791">
        <v>7114.4</v>
      </c>
      <c r="K862" s="53">
        <v>60.257100000000001</v>
      </c>
      <c r="L862" s="59">
        <f t="shared" si="90"/>
        <v>118.06741446236211</v>
      </c>
      <c r="M862" s="53">
        <v>60</v>
      </c>
      <c r="N862" s="57">
        <f t="shared" si="87"/>
        <v>118.57333333333332</v>
      </c>
      <c r="O862" s="38">
        <f t="shared" ca="1" si="91"/>
        <v>9</v>
      </c>
      <c r="P862" s="36">
        <f t="shared" ca="1" si="88"/>
        <v>6047.24</v>
      </c>
      <c r="Q862" s="36">
        <f t="shared" ca="1" si="89"/>
        <v>6047.24</v>
      </c>
      <c r="R862" s="53" t="s">
        <v>1327</v>
      </c>
    </row>
    <row r="863" spans="2:18" s="4" customFormat="1" ht="120" customHeight="1" x14ac:dyDescent="0.25">
      <c r="B863" s="24">
        <v>45583</v>
      </c>
      <c r="C863" s="24">
        <v>45639</v>
      </c>
      <c r="D863" s="56" t="s">
        <v>6033</v>
      </c>
      <c r="E863" s="26" t="s">
        <v>6129</v>
      </c>
      <c r="F863" s="53" t="s">
        <v>6130</v>
      </c>
      <c r="G863" s="56" t="s">
        <v>28</v>
      </c>
      <c r="H863" s="466" t="s">
        <v>5836</v>
      </c>
      <c r="I863" s="53" t="s">
        <v>19</v>
      </c>
      <c r="J863" s="791">
        <v>33747.72</v>
      </c>
      <c r="K863" s="53">
        <v>60.257100000000001</v>
      </c>
      <c r="L863" s="59">
        <f t="shared" si="90"/>
        <v>560.06213375685195</v>
      </c>
      <c r="M863" s="53">
        <v>60</v>
      </c>
      <c r="N863" s="57">
        <f t="shared" si="87"/>
        <v>562.46199999999999</v>
      </c>
      <c r="O863" s="38">
        <f t="shared" ca="1" si="91"/>
        <v>9</v>
      </c>
      <c r="P863" s="36">
        <f t="shared" ca="1" si="88"/>
        <v>28685.562000000002</v>
      </c>
      <c r="Q863" s="36">
        <f t="shared" ca="1" si="89"/>
        <v>28685.562000000002</v>
      </c>
      <c r="R863" s="53" t="s">
        <v>1327</v>
      </c>
    </row>
    <row r="864" spans="2:18" s="4" customFormat="1" ht="120" customHeight="1" x14ac:dyDescent="0.25">
      <c r="B864" s="24">
        <v>45583</v>
      </c>
      <c r="C864" s="24">
        <v>45639</v>
      </c>
      <c r="D864" s="56" t="s">
        <v>6033</v>
      </c>
      <c r="E864" s="26" t="s">
        <v>6131</v>
      </c>
      <c r="F864" s="53" t="s">
        <v>6132</v>
      </c>
      <c r="G864" s="56" t="s">
        <v>28</v>
      </c>
      <c r="H864" s="466" t="s">
        <v>5836</v>
      </c>
      <c r="I864" s="53" t="s">
        <v>19</v>
      </c>
      <c r="J864" s="791">
        <v>30764.79</v>
      </c>
      <c r="K864" s="53">
        <v>60.257100000000001</v>
      </c>
      <c r="L864" s="59">
        <f t="shared" si="90"/>
        <v>510.5587557316897</v>
      </c>
      <c r="M864" s="53">
        <v>60</v>
      </c>
      <c r="N864" s="57">
        <f t="shared" si="87"/>
        <v>512.74649999999997</v>
      </c>
      <c r="O864" s="38">
        <f t="shared" ca="1" si="91"/>
        <v>9</v>
      </c>
      <c r="P864" s="36">
        <f t="shared" ca="1" si="88"/>
        <v>26150.071500000002</v>
      </c>
      <c r="Q864" s="36">
        <f t="shared" ca="1" si="89"/>
        <v>26150.071500000002</v>
      </c>
      <c r="R864" s="53" t="s">
        <v>1327</v>
      </c>
    </row>
    <row r="865" spans="2:18" s="4" customFormat="1" ht="120" customHeight="1" x14ac:dyDescent="0.25">
      <c r="B865" s="58">
        <v>45583</v>
      </c>
      <c r="C865" s="58">
        <v>45639</v>
      </c>
      <c r="D865" s="56" t="s">
        <v>6033</v>
      </c>
      <c r="E865" s="838" t="s">
        <v>6228</v>
      </c>
      <c r="F865" s="56" t="s">
        <v>6133</v>
      </c>
      <c r="G865" s="56" t="s">
        <v>28</v>
      </c>
      <c r="H865" s="814" t="s">
        <v>5836</v>
      </c>
      <c r="I865" s="56" t="s">
        <v>19</v>
      </c>
      <c r="J865" s="815">
        <v>31764.3</v>
      </c>
      <c r="K865" s="56">
        <v>60.257100000000001</v>
      </c>
      <c r="L865" s="60">
        <f t="shared" si="90"/>
        <v>527.14617862459363</v>
      </c>
      <c r="M865" s="56">
        <v>60</v>
      </c>
      <c r="N865" s="61">
        <f t="shared" si="87"/>
        <v>529.40499999999997</v>
      </c>
      <c r="O865" s="42">
        <f t="shared" ca="1" si="91"/>
        <v>9</v>
      </c>
      <c r="P865" s="43">
        <f t="shared" ca="1" si="88"/>
        <v>26999.654999999999</v>
      </c>
      <c r="Q865" s="43">
        <f t="shared" ca="1" si="89"/>
        <v>26999.654999999999</v>
      </c>
      <c r="R865" s="56" t="s">
        <v>1327</v>
      </c>
    </row>
    <row r="866" spans="2:18" s="4" customFormat="1" ht="120" customHeight="1" x14ac:dyDescent="0.25">
      <c r="B866" s="58">
        <v>45583</v>
      </c>
      <c r="C866" s="58">
        <v>45639</v>
      </c>
      <c r="D866" s="56" t="s">
        <v>6033</v>
      </c>
      <c r="E866" s="838" t="s">
        <v>6228</v>
      </c>
      <c r="F866" s="56" t="s">
        <v>6134</v>
      </c>
      <c r="G866" s="56" t="s">
        <v>28</v>
      </c>
      <c r="H866" s="814" t="s">
        <v>5836</v>
      </c>
      <c r="I866" s="56" t="s">
        <v>19</v>
      </c>
      <c r="J866" s="815">
        <v>26691.78</v>
      </c>
      <c r="K866" s="56">
        <v>60.257100000000001</v>
      </c>
      <c r="L866" s="60">
        <f t="shared" si="90"/>
        <v>442.96489542311195</v>
      </c>
      <c r="M866" s="56">
        <v>60</v>
      </c>
      <c r="N866" s="61">
        <f t="shared" si="87"/>
        <v>444.863</v>
      </c>
      <c r="O866" s="42">
        <f t="shared" ca="1" si="91"/>
        <v>9</v>
      </c>
      <c r="P866" s="43">
        <f t="shared" ca="1" si="88"/>
        <v>22688.012999999999</v>
      </c>
      <c r="Q866" s="43">
        <f t="shared" ca="1" si="89"/>
        <v>22688.012999999999</v>
      </c>
      <c r="R866" s="56" t="s">
        <v>1327</v>
      </c>
    </row>
    <row r="867" spans="2:18" s="4" customFormat="1" ht="120" customHeight="1" x14ac:dyDescent="0.25">
      <c r="B867" s="24">
        <v>45583</v>
      </c>
      <c r="C867" s="24">
        <v>45646</v>
      </c>
      <c r="D867" s="56" t="s">
        <v>6138</v>
      </c>
      <c r="E867" s="26" t="s">
        <v>6146</v>
      </c>
      <c r="F867" s="53" t="s">
        <v>6227</v>
      </c>
      <c r="G867" s="56" t="s">
        <v>28</v>
      </c>
      <c r="H867" s="466" t="s">
        <v>5836</v>
      </c>
      <c r="I867" s="53" t="s">
        <v>19</v>
      </c>
      <c r="J867" s="791">
        <v>138000.01999999999</v>
      </c>
      <c r="K867" s="53">
        <v>60.257100000000001</v>
      </c>
      <c r="L867" s="59">
        <f t="shared" si="90"/>
        <v>2290.1868825416423</v>
      </c>
      <c r="M867" s="53">
        <v>60</v>
      </c>
      <c r="N867" s="57">
        <f t="shared" si="87"/>
        <v>2300.0003333333329</v>
      </c>
      <c r="O867" s="38">
        <f t="shared" ca="1" si="91"/>
        <v>9</v>
      </c>
      <c r="P867" s="36">
        <f t="shared" ca="1" si="88"/>
        <v>117300.01699999999</v>
      </c>
      <c r="Q867" s="36">
        <f t="shared" ca="1" si="89"/>
        <v>117300.01699999999</v>
      </c>
      <c r="R867" s="53" t="s">
        <v>4976</v>
      </c>
    </row>
    <row r="868" spans="2:18" s="4" customFormat="1" ht="120" customHeight="1" x14ac:dyDescent="0.25">
      <c r="B868" s="24">
        <v>45583</v>
      </c>
      <c r="C868" s="24">
        <v>45646</v>
      </c>
      <c r="D868" s="56" t="s">
        <v>6138</v>
      </c>
      <c r="E868" s="26" t="s">
        <v>6145</v>
      </c>
      <c r="F868" s="53" t="s">
        <v>6144</v>
      </c>
      <c r="G868" s="56" t="s">
        <v>28</v>
      </c>
      <c r="H868" s="466" t="s">
        <v>5836</v>
      </c>
      <c r="I868" s="53" t="s">
        <v>19</v>
      </c>
      <c r="J868" s="791">
        <v>166600.24</v>
      </c>
      <c r="K868" s="53">
        <v>60.257100000000001</v>
      </c>
      <c r="L868" s="59">
        <f t="shared" si="90"/>
        <v>2764.8233984045032</v>
      </c>
      <c r="M868" s="53">
        <v>60</v>
      </c>
      <c r="N868" s="57">
        <f t="shared" si="87"/>
        <v>2776.6706666666664</v>
      </c>
      <c r="O868" s="38">
        <f t="shared" ca="1" si="91"/>
        <v>9</v>
      </c>
      <c r="P868" s="36">
        <f t="shared" ca="1" si="88"/>
        <v>141610.204</v>
      </c>
      <c r="Q868" s="36">
        <f t="shared" ca="1" si="89"/>
        <v>141610.204</v>
      </c>
      <c r="R868" s="53" t="s">
        <v>4976</v>
      </c>
    </row>
    <row r="869" spans="2:18" s="4" customFormat="1" ht="120" customHeight="1" x14ac:dyDescent="0.25">
      <c r="B869" s="24">
        <v>45583</v>
      </c>
      <c r="C869" s="24">
        <v>45646</v>
      </c>
      <c r="D869" s="56" t="s">
        <v>6138</v>
      </c>
      <c r="E869" s="26" t="s">
        <v>6147</v>
      </c>
      <c r="F869" s="53" t="s">
        <v>6143</v>
      </c>
      <c r="G869" s="56" t="s">
        <v>28</v>
      </c>
      <c r="H869" s="466" t="s">
        <v>5836</v>
      </c>
      <c r="I869" s="53" t="s">
        <v>19</v>
      </c>
      <c r="J869" s="791">
        <v>97999.94</v>
      </c>
      <c r="K869" s="53">
        <v>60.257100000000001</v>
      </c>
      <c r="L869" s="59">
        <f t="shared" si="90"/>
        <v>1626.3633663087005</v>
      </c>
      <c r="M869" s="53">
        <v>60</v>
      </c>
      <c r="N869" s="57">
        <f t="shared" si="87"/>
        <v>1633.3323333333333</v>
      </c>
      <c r="O869" s="38">
        <f t="shared" ca="1" si="91"/>
        <v>9</v>
      </c>
      <c r="P869" s="36">
        <f t="shared" ca="1" si="88"/>
        <v>83299.949000000008</v>
      </c>
      <c r="Q869" s="36">
        <f t="shared" ca="1" si="89"/>
        <v>83299.949000000008</v>
      </c>
      <c r="R869" s="53" t="s">
        <v>4976</v>
      </c>
    </row>
    <row r="870" spans="2:18" s="4" customFormat="1" ht="120" customHeight="1" x14ac:dyDescent="0.25">
      <c r="B870" s="24">
        <v>45603</v>
      </c>
      <c r="C870" s="24">
        <v>45653</v>
      </c>
      <c r="D870" s="56" t="s">
        <v>6235</v>
      </c>
      <c r="E870" s="26" t="s">
        <v>6237</v>
      </c>
      <c r="F870" s="53" t="s">
        <v>6240</v>
      </c>
      <c r="G870" s="56" t="s">
        <v>6241</v>
      </c>
      <c r="H870" s="466" t="s">
        <v>5836</v>
      </c>
      <c r="I870" s="53" t="s">
        <v>19</v>
      </c>
      <c r="J870" s="791">
        <v>188800</v>
      </c>
      <c r="K870" s="53">
        <v>60.258499999999998</v>
      </c>
      <c r="L870" s="59">
        <f t="shared" si="90"/>
        <v>3133.1679348141756</v>
      </c>
      <c r="M870" s="53">
        <v>60</v>
      </c>
      <c r="N870" s="57">
        <f t="shared" si="87"/>
        <v>3146.6666666666665</v>
      </c>
      <c r="O870" s="38">
        <f t="shared" ca="1" si="91"/>
        <v>8</v>
      </c>
      <c r="P870" s="36">
        <f t="shared" ca="1" si="88"/>
        <v>163626.66666666666</v>
      </c>
      <c r="Q870" s="36">
        <f t="shared" ca="1" si="89"/>
        <v>163626.66666666666</v>
      </c>
      <c r="R870" s="53" t="s">
        <v>6247</v>
      </c>
    </row>
    <row r="871" spans="2:18" s="4" customFormat="1" ht="182.25" customHeight="1" x14ac:dyDescent="0.25">
      <c r="B871" s="24">
        <v>45603</v>
      </c>
      <c r="C871" s="24">
        <v>45653</v>
      </c>
      <c r="D871" s="56" t="s">
        <v>6235</v>
      </c>
      <c r="E871" s="26" t="s">
        <v>6236</v>
      </c>
      <c r="F871" s="53" t="s">
        <v>6246</v>
      </c>
      <c r="G871" s="926" t="s">
        <v>6242</v>
      </c>
      <c r="H871" s="466" t="s">
        <v>5836</v>
      </c>
      <c r="I871" s="53" t="s">
        <v>19</v>
      </c>
      <c r="J871" s="791">
        <v>466100</v>
      </c>
      <c r="K871" s="53">
        <v>60.258499999999998</v>
      </c>
      <c r="L871" s="59">
        <f t="shared" si="90"/>
        <v>7735.0083390724967</v>
      </c>
      <c r="M871" s="53">
        <v>60</v>
      </c>
      <c r="N871" s="57">
        <f t="shared" si="87"/>
        <v>7768.333333333333</v>
      </c>
      <c r="O871" s="38">
        <f t="shared" ca="1" si="91"/>
        <v>8</v>
      </c>
      <c r="P871" s="36">
        <f t="shared" ca="1" si="88"/>
        <v>403953.33333333331</v>
      </c>
      <c r="Q871" s="36">
        <f t="shared" ca="1" si="89"/>
        <v>403953.33333333331</v>
      </c>
      <c r="R871" s="53" t="s">
        <v>6247</v>
      </c>
    </row>
    <row r="872" spans="2:18" s="4" customFormat="1" ht="139.5" customHeight="1" x14ac:dyDescent="0.25">
      <c r="B872" s="24">
        <v>45603</v>
      </c>
      <c r="C872" s="24">
        <v>45653</v>
      </c>
      <c r="D872" s="56" t="s">
        <v>6235</v>
      </c>
      <c r="E872" s="26" t="s">
        <v>6238</v>
      </c>
      <c r="F872" s="53" t="s">
        <v>6243</v>
      </c>
      <c r="G872" s="56" t="s">
        <v>6244</v>
      </c>
      <c r="H872" s="466" t="s">
        <v>5836</v>
      </c>
      <c r="I872" s="53" t="s">
        <v>19</v>
      </c>
      <c r="J872" s="791">
        <v>25370</v>
      </c>
      <c r="K872" s="53">
        <v>60.258499999999998</v>
      </c>
      <c r="L872" s="59">
        <f t="shared" si="90"/>
        <v>421.01944124065488</v>
      </c>
      <c r="M872" s="53">
        <v>60</v>
      </c>
      <c r="N872" s="57">
        <f t="shared" si="87"/>
        <v>422.83333333333331</v>
      </c>
      <c r="O872" s="38">
        <f t="shared" ca="1" si="91"/>
        <v>8</v>
      </c>
      <c r="P872" s="36">
        <f t="shared" ca="1" si="88"/>
        <v>21987.333333333332</v>
      </c>
      <c r="Q872" s="36">
        <f t="shared" ca="1" si="89"/>
        <v>21987.333333333332</v>
      </c>
      <c r="R872" s="53" t="s">
        <v>6247</v>
      </c>
    </row>
    <row r="873" spans="2:18" s="4" customFormat="1" ht="120" customHeight="1" x14ac:dyDescent="0.25">
      <c r="B873" s="24">
        <v>45603</v>
      </c>
      <c r="C873" s="24">
        <v>45653</v>
      </c>
      <c r="D873" s="56" t="s">
        <v>6235</v>
      </c>
      <c r="E873" s="26" t="s">
        <v>6239</v>
      </c>
      <c r="F873" s="53" t="s">
        <v>6243</v>
      </c>
      <c r="G873" s="56" t="s">
        <v>6245</v>
      </c>
      <c r="H873" s="466" t="s">
        <v>5836</v>
      </c>
      <c r="I873" s="53" t="s">
        <v>19</v>
      </c>
      <c r="J873" s="791">
        <v>25370</v>
      </c>
      <c r="K873" s="53">
        <v>60.258499999999998</v>
      </c>
      <c r="L873" s="59">
        <f t="shared" si="90"/>
        <v>421.01944124065488</v>
      </c>
      <c r="M873" s="53">
        <v>60</v>
      </c>
      <c r="N873" s="57">
        <f t="shared" si="87"/>
        <v>422.83333333333331</v>
      </c>
      <c r="O873" s="38">
        <f t="shared" ca="1" si="91"/>
        <v>8</v>
      </c>
      <c r="P873" s="36">
        <f t="shared" ca="1" si="88"/>
        <v>21987.333333333332</v>
      </c>
      <c r="Q873" s="36">
        <f t="shared" ca="1" si="89"/>
        <v>21987.333333333332</v>
      </c>
      <c r="R873" s="53" t="s">
        <v>6247</v>
      </c>
    </row>
    <row r="874" spans="2:18" s="4" customFormat="1" ht="120" customHeight="1" x14ac:dyDescent="0.25">
      <c r="B874" s="24">
        <v>45615</v>
      </c>
      <c r="C874" s="24">
        <v>45636</v>
      </c>
      <c r="D874" s="56" t="s">
        <v>6086</v>
      </c>
      <c r="E874" s="26" t="s">
        <v>6085</v>
      </c>
      <c r="F874" s="53" t="s">
        <v>6092</v>
      </c>
      <c r="G874" s="56" t="s">
        <v>28</v>
      </c>
      <c r="H874" s="813" t="s">
        <v>6248</v>
      </c>
      <c r="I874" s="53" t="s">
        <v>19</v>
      </c>
      <c r="J874" s="791">
        <v>7799.99</v>
      </c>
      <c r="K874" s="53">
        <v>60.343299999999999</v>
      </c>
      <c r="L874" s="59">
        <f t="shared" si="90"/>
        <v>129.26024927373876</v>
      </c>
      <c r="M874" s="53">
        <v>60</v>
      </c>
      <c r="N874" s="57">
        <f t="shared" si="87"/>
        <v>129.99983333333333</v>
      </c>
      <c r="O874" s="38">
        <f t="shared" ca="1" si="91"/>
        <v>8</v>
      </c>
      <c r="P874" s="36">
        <f t="shared" ca="1" si="88"/>
        <v>6759.9913333333334</v>
      </c>
      <c r="Q874" s="36">
        <f t="shared" ca="1" si="89"/>
        <v>6759.9913333333334</v>
      </c>
      <c r="R874" s="53" t="s">
        <v>5729</v>
      </c>
    </row>
    <row r="875" spans="2:18" s="4" customFormat="1" ht="120" customHeight="1" x14ac:dyDescent="0.25">
      <c r="B875" s="24">
        <v>45615</v>
      </c>
      <c r="C875" s="24">
        <v>45636</v>
      </c>
      <c r="D875" s="56" t="s">
        <v>6086</v>
      </c>
      <c r="E875" s="26" t="s">
        <v>6087</v>
      </c>
      <c r="F875" s="53" t="s">
        <v>6092</v>
      </c>
      <c r="G875" s="56" t="s">
        <v>28</v>
      </c>
      <c r="H875" s="813" t="s">
        <v>6249</v>
      </c>
      <c r="I875" s="53" t="s">
        <v>19</v>
      </c>
      <c r="J875" s="791">
        <v>7799.99</v>
      </c>
      <c r="K875" s="53">
        <v>60.343299999999999</v>
      </c>
      <c r="L875" s="59">
        <f t="shared" si="90"/>
        <v>129.26024927373876</v>
      </c>
      <c r="M875" s="53">
        <v>60</v>
      </c>
      <c r="N875" s="57">
        <f t="shared" si="87"/>
        <v>129.99983333333333</v>
      </c>
      <c r="O875" s="38">
        <f t="shared" ca="1" si="91"/>
        <v>8</v>
      </c>
      <c r="P875" s="36">
        <f t="shared" ca="1" si="88"/>
        <v>6759.9913333333334</v>
      </c>
      <c r="Q875" s="36">
        <f t="shared" ca="1" si="89"/>
        <v>6759.9913333333334</v>
      </c>
      <c r="R875" s="53" t="s">
        <v>5729</v>
      </c>
    </row>
    <row r="876" spans="2:18" s="4" customFormat="1" ht="120" customHeight="1" x14ac:dyDescent="0.25">
      <c r="B876" s="24">
        <v>45615</v>
      </c>
      <c r="C876" s="24">
        <v>45636</v>
      </c>
      <c r="D876" s="56" t="s">
        <v>6086</v>
      </c>
      <c r="E876" s="26" t="s">
        <v>6088</v>
      </c>
      <c r="F876" s="53" t="s">
        <v>6093</v>
      </c>
      <c r="G876" s="56" t="s">
        <v>28</v>
      </c>
      <c r="H876" s="814" t="s">
        <v>4363</v>
      </c>
      <c r="I876" s="53" t="s">
        <v>19</v>
      </c>
      <c r="J876" s="791">
        <v>8614</v>
      </c>
      <c r="K876" s="53">
        <v>60.343299999999999</v>
      </c>
      <c r="L876" s="59">
        <f t="shared" si="90"/>
        <v>142.74989932602293</v>
      </c>
      <c r="M876" s="53">
        <v>60</v>
      </c>
      <c r="N876" s="57">
        <f t="shared" si="87"/>
        <v>143.56666666666666</v>
      </c>
      <c r="O876" s="38">
        <f t="shared" ca="1" si="91"/>
        <v>8</v>
      </c>
      <c r="P876" s="36">
        <f t="shared" ca="1" si="88"/>
        <v>7465.4666666666672</v>
      </c>
      <c r="Q876" s="36">
        <f t="shared" ca="1" si="89"/>
        <v>7465.4666666666672</v>
      </c>
      <c r="R876" s="53" t="s">
        <v>5729</v>
      </c>
    </row>
    <row r="877" spans="2:18" s="4" customFormat="1" ht="120" customHeight="1" x14ac:dyDescent="0.25">
      <c r="B877" s="24">
        <v>45615</v>
      </c>
      <c r="C877" s="24">
        <v>45636</v>
      </c>
      <c r="D877" s="56" t="s">
        <v>6086</v>
      </c>
      <c r="E877" s="26" t="s">
        <v>6089</v>
      </c>
      <c r="F877" s="53" t="s">
        <v>6093</v>
      </c>
      <c r="G877" s="56" t="s">
        <v>28</v>
      </c>
      <c r="H877" s="814" t="s">
        <v>3856</v>
      </c>
      <c r="I877" s="53" t="s">
        <v>19</v>
      </c>
      <c r="J877" s="791">
        <v>8614</v>
      </c>
      <c r="K877" s="53">
        <v>60.343299999999999</v>
      </c>
      <c r="L877" s="59">
        <f t="shared" si="90"/>
        <v>142.74989932602293</v>
      </c>
      <c r="M877" s="53">
        <v>60</v>
      </c>
      <c r="N877" s="57">
        <f t="shared" si="87"/>
        <v>143.56666666666666</v>
      </c>
      <c r="O877" s="38">
        <f t="shared" ca="1" si="91"/>
        <v>8</v>
      </c>
      <c r="P877" s="36">
        <f t="shared" ca="1" si="88"/>
        <v>7465.4666666666672</v>
      </c>
      <c r="Q877" s="36">
        <f t="shared" ca="1" si="89"/>
        <v>7465.4666666666672</v>
      </c>
      <c r="R877" s="53" t="s">
        <v>5729</v>
      </c>
    </row>
    <row r="878" spans="2:18" s="4" customFormat="1" ht="120" customHeight="1" x14ac:dyDescent="0.25">
      <c r="B878" s="24">
        <v>45615</v>
      </c>
      <c r="C878" s="24">
        <v>45636</v>
      </c>
      <c r="D878" s="56" t="s">
        <v>6086</v>
      </c>
      <c r="E878" s="26" t="s">
        <v>6090</v>
      </c>
      <c r="F878" s="53" t="s">
        <v>6093</v>
      </c>
      <c r="G878" s="56" t="s">
        <v>28</v>
      </c>
      <c r="H878" s="814" t="s">
        <v>6250</v>
      </c>
      <c r="I878" s="53" t="s">
        <v>19</v>
      </c>
      <c r="J878" s="791">
        <v>8614</v>
      </c>
      <c r="K878" s="53">
        <v>60.343299999999999</v>
      </c>
      <c r="L878" s="59">
        <f t="shared" si="90"/>
        <v>142.74989932602293</v>
      </c>
      <c r="M878" s="53">
        <v>60</v>
      </c>
      <c r="N878" s="57">
        <f t="shared" si="87"/>
        <v>143.56666666666666</v>
      </c>
      <c r="O878" s="38">
        <f t="shared" ca="1" si="91"/>
        <v>8</v>
      </c>
      <c r="P878" s="36">
        <f t="shared" ca="1" si="88"/>
        <v>7465.4666666666672</v>
      </c>
      <c r="Q878" s="36">
        <f t="shared" ca="1" si="89"/>
        <v>7465.4666666666672</v>
      </c>
      <c r="R878" s="53" t="s">
        <v>5729</v>
      </c>
    </row>
    <row r="879" spans="2:18" s="4" customFormat="1" ht="120" customHeight="1" x14ac:dyDescent="0.25">
      <c r="B879" s="24">
        <v>45615</v>
      </c>
      <c r="C879" s="24">
        <v>45636</v>
      </c>
      <c r="D879" s="56" t="s">
        <v>6086</v>
      </c>
      <c r="E879" s="26" t="s">
        <v>6091</v>
      </c>
      <c r="F879" s="53" t="s">
        <v>6093</v>
      </c>
      <c r="G879" s="56" t="s">
        <v>28</v>
      </c>
      <c r="H879" s="814" t="s">
        <v>6250</v>
      </c>
      <c r="I879" s="53" t="s">
        <v>19</v>
      </c>
      <c r="J879" s="791">
        <v>8614</v>
      </c>
      <c r="K879" s="53">
        <v>60.343299999999999</v>
      </c>
      <c r="L879" s="59">
        <f t="shared" si="90"/>
        <v>142.74989932602293</v>
      </c>
      <c r="M879" s="53">
        <v>60</v>
      </c>
      <c r="N879" s="57">
        <f t="shared" si="87"/>
        <v>143.56666666666666</v>
      </c>
      <c r="O879" s="38">
        <f t="shared" ca="1" si="91"/>
        <v>8</v>
      </c>
      <c r="P879" s="36">
        <f t="shared" ca="1" si="88"/>
        <v>7465.4666666666672</v>
      </c>
      <c r="Q879" s="36">
        <f t="shared" ca="1" si="89"/>
        <v>7465.4666666666672</v>
      </c>
      <c r="R879" s="53" t="s">
        <v>5729</v>
      </c>
    </row>
    <row r="880" spans="2:18" s="4" customFormat="1" ht="120" customHeight="1" x14ac:dyDescent="0.25">
      <c r="B880" s="24">
        <v>45617</v>
      </c>
      <c r="C880" s="24">
        <v>45632</v>
      </c>
      <c r="D880" s="56" t="s">
        <v>6024</v>
      </c>
      <c r="E880" s="26" t="s">
        <v>6026</v>
      </c>
      <c r="F880" s="53" t="s">
        <v>6027</v>
      </c>
      <c r="G880" s="56" t="s">
        <v>6574</v>
      </c>
      <c r="H880" s="466" t="s">
        <v>6023</v>
      </c>
      <c r="I880" s="53" t="s">
        <v>19</v>
      </c>
      <c r="J880" s="791">
        <v>2575790</v>
      </c>
      <c r="K880" s="53">
        <v>60.146000000000001</v>
      </c>
      <c r="L880" s="59">
        <f t="shared" ref="L880:L885" si="92">J880/K880</f>
        <v>42825.624314168854</v>
      </c>
      <c r="M880" s="53">
        <v>60</v>
      </c>
      <c r="N880" s="57">
        <f t="shared" ref="N880:N900" si="93">J880/M880</f>
        <v>42929.833333333336</v>
      </c>
      <c r="O880" s="38">
        <f t="shared" ref="O880:O903" ca="1" si="94">IF(B880&lt;&gt;0,(ROUND((NOW()-B880)/30,0)),0)</f>
        <v>8</v>
      </c>
      <c r="P880" s="36">
        <f t="shared" ref="P880:P900" ca="1" si="95">IF(OR(J880=0,M880=0,O880=0),0,J880-(N880*O880))</f>
        <v>2232351.3333333335</v>
      </c>
      <c r="Q880" s="36">
        <f t="shared" ref="Q880:Q885" ca="1" si="96">IF(P880&lt;1,1,P880)</f>
        <v>2232351.3333333335</v>
      </c>
      <c r="R880" s="53" t="s">
        <v>3657</v>
      </c>
    </row>
    <row r="881" spans="2:18" s="4" customFormat="1" ht="59.25" customHeight="1" x14ac:dyDescent="0.25">
      <c r="B881" s="24">
        <v>45723</v>
      </c>
      <c r="C881" s="24">
        <v>45803</v>
      </c>
      <c r="D881" s="56" t="s">
        <v>7001</v>
      </c>
      <c r="E881" s="26" t="s">
        <v>7002</v>
      </c>
      <c r="F881" s="53" t="s">
        <v>7003</v>
      </c>
      <c r="G881" s="56" t="s">
        <v>7004</v>
      </c>
      <c r="H881" s="466" t="s">
        <v>6023</v>
      </c>
      <c r="I881" s="53" t="s">
        <v>19</v>
      </c>
      <c r="J881" s="791">
        <v>1794000</v>
      </c>
      <c r="K881" s="53">
        <v>60.892400000000002</v>
      </c>
      <c r="L881" s="59">
        <f t="shared" si="92"/>
        <v>29461.804757243925</v>
      </c>
      <c r="M881" s="53">
        <v>60</v>
      </c>
      <c r="N881" s="57">
        <f>J881/M881</f>
        <v>29900</v>
      </c>
      <c r="O881" s="38">
        <f ca="1">IF(B881&lt;&gt;0,(ROUND((NOW()-B881)/30,0)),0)</f>
        <v>4</v>
      </c>
      <c r="P881" s="36">
        <f ca="1">IF(OR(J881=0,M881=0,O881=0),0,J881-(N881*O881))</f>
        <v>1674400</v>
      </c>
      <c r="Q881" s="36">
        <f t="shared" ca="1" si="96"/>
        <v>1674400</v>
      </c>
      <c r="R881" s="53" t="s">
        <v>3240</v>
      </c>
    </row>
    <row r="882" spans="2:18" s="4" customFormat="1" ht="128.25" customHeight="1" x14ac:dyDescent="0.25">
      <c r="B882" s="24">
        <v>45732</v>
      </c>
      <c r="C882" s="24">
        <v>45804</v>
      </c>
      <c r="D882" s="56" t="s">
        <v>7005</v>
      </c>
      <c r="E882" s="26" t="s">
        <v>7008</v>
      </c>
      <c r="F882" s="53" t="s">
        <v>7006</v>
      </c>
      <c r="G882" s="56" t="s">
        <v>18</v>
      </c>
      <c r="H882" s="466"/>
      <c r="I882" s="53" t="s">
        <v>19</v>
      </c>
      <c r="J882" s="791">
        <v>136000</v>
      </c>
      <c r="K882" s="53">
        <v>60.722200000000001</v>
      </c>
      <c r="L882" s="59">
        <f t="shared" si="92"/>
        <v>2239.7080474686359</v>
      </c>
      <c r="M882" s="53">
        <v>60</v>
      </c>
      <c r="N882" s="57">
        <f>J882/M882</f>
        <v>2266.6666666666665</v>
      </c>
      <c r="O882" s="38">
        <f ca="1">IF(B882&lt;&gt;0,(ROUND((NOW()-B882)/30,0)),0)</f>
        <v>4</v>
      </c>
      <c r="P882" s="36">
        <f ca="1">IF(OR(J882=0,M882=0,O882=0),0,J882-(N882*O882))</f>
        <v>126933.33333333333</v>
      </c>
      <c r="Q882" s="36">
        <f t="shared" ca="1" si="96"/>
        <v>126933.33333333333</v>
      </c>
      <c r="R882" s="53" t="s">
        <v>6141</v>
      </c>
    </row>
    <row r="883" spans="2:18" s="4" customFormat="1" ht="117.75" customHeight="1" x14ac:dyDescent="0.25">
      <c r="B883" s="24">
        <v>45732</v>
      </c>
      <c r="C883" s="24">
        <v>45804</v>
      </c>
      <c r="D883" s="56" t="s">
        <v>7005</v>
      </c>
      <c r="E883" s="26" t="s">
        <v>7009</v>
      </c>
      <c r="F883" s="53" t="s">
        <v>7007</v>
      </c>
      <c r="G883" s="56" t="s">
        <v>18</v>
      </c>
      <c r="H883" s="466"/>
      <c r="I883" s="53" t="s">
        <v>19</v>
      </c>
      <c r="J883" s="791">
        <v>58500</v>
      </c>
      <c r="K883" s="53">
        <v>60.722200000000001</v>
      </c>
      <c r="L883" s="59">
        <f t="shared" si="92"/>
        <v>963.40382924202345</v>
      </c>
      <c r="M883" s="53">
        <v>60</v>
      </c>
      <c r="N883" s="57">
        <f>J883/M883</f>
        <v>975</v>
      </c>
      <c r="O883" s="38">
        <f ca="1">IF(B883&lt;&gt;0,(ROUND((NOW()-B883)/30,0)),0)</f>
        <v>4</v>
      </c>
      <c r="P883" s="36">
        <f ca="1">IF(OR(J883=0,M883=0,O883=0),0,J883-(N883*O883))</f>
        <v>54600</v>
      </c>
      <c r="Q883" s="36">
        <f t="shared" ca="1" si="96"/>
        <v>54600</v>
      </c>
      <c r="R883" s="53" t="s">
        <v>6141</v>
      </c>
    </row>
    <row r="884" spans="2:18" s="4" customFormat="1" ht="66.75" customHeight="1" x14ac:dyDescent="0.25">
      <c r="B884" s="24">
        <v>45741</v>
      </c>
      <c r="C884" s="24">
        <v>45804</v>
      </c>
      <c r="D884" s="56" t="s">
        <v>7010</v>
      </c>
      <c r="E884" s="26" t="s">
        <v>7027</v>
      </c>
      <c r="F884" s="53" t="s">
        <v>7012</v>
      </c>
      <c r="G884" s="56" t="s">
        <v>18</v>
      </c>
      <c r="H884" s="466"/>
      <c r="I884" s="53" t="s">
        <v>19</v>
      </c>
      <c r="J884" s="791">
        <v>86966</v>
      </c>
      <c r="K884" s="53">
        <v>60.512799999999999</v>
      </c>
      <c r="L884" s="59">
        <f t="shared" si="92"/>
        <v>1437.1504871696568</v>
      </c>
      <c r="M884" s="53">
        <v>60</v>
      </c>
      <c r="N884" s="57">
        <f>J884/M884</f>
        <v>1449.4333333333334</v>
      </c>
      <c r="O884" s="38">
        <f ca="1">IF(B884&lt;&gt;0,(ROUND((NOW()-B884)/30,0)),0)</f>
        <v>4</v>
      </c>
      <c r="P884" s="36">
        <f ca="1">IF(OR(J884=0,M884=0,O884=0),0,J884-(N884*O884))</f>
        <v>81168.266666666663</v>
      </c>
      <c r="Q884" s="36">
        <f t="shared" ca="1" si="96"/>
        <v>81168.266666666663</v>
      </c>
      <c r="R884" s="53" t="s">
        <v>2702</v>
      </c>
    </row>
    <row r="885" spans="2:18" s="4" customFormat="1" ht="66.75" customHeight="1" x14ac:dyDescent="0.25">
      <c r="B885" s="24">
        <v>45741</v>
      </c>
      <c r="C885" s="24">
        <v>45804</v>
      </c>
      <c r="D885" s="56" t="s">
        <v>7010</v>
      </c>
      <c r="E885" s="26" t="s">
        <v>7028</v>
      </c>
      <c r="F885" s="53" t="s">
        <v>7012</v>
      </c>
      <c r="G885" s="56" t="s">
        <v>18</v>
      </c>
      <c r="H885" s="466"/>
      <c r="I885" s="53" t="s">
        <v>19</v>
      </c>
      <c r="J885" s="791">
        <v>86966</v>
      </c>
      <c r="K885" s="53">
        <v>60.512799999999999</v>
      </c>
      <c r="L885" s="59">
        <f t="shared" si="92"/>
        <v>1437.1504871696568</v>
      </c>
      <c r="M885" s="53">
        <v>60</v>
      </c>
      <c r="N885" s="57">
        <f>J885/M885</f>
        <v>1449.4333333333334</v>
      </c>
      <c r="O885" s="38">
        <f ca="1">IF(B885&lt;&gt;0,(ROUND((NOW()-B885)/30,0)),0)</f>
        <v>4</v>
      </c>
      <c r="P885" s="36">
        <f ca="1">IF(OR(J885=0,M885=0,O885=0),0,J885-(N885*O885))</f>
        <v>81168.266666666663</v>
      </c>
      <c r="Q885" s="36">
        <f t="shared" ca="1" si="96"/>
        <v>81168.266666666663</v>
      </c>
      <c r="R885" s="53" t="s">
        <v>2702</v>
      </c>
    </row>
    <row r="886" spans="2:18" s="4" customFormat="1" ht="66.75" customHeight="1" x14ac:dyDescent="0.25">
      <c r="B886" s="24">
        <v>45741</v>
      </c>
      <c r="C886" s="24">
        <v>45804</v>
      </c>
      <c r="D886" s="56" t="s">
        <v>7010</v>
      </c>
      <c r="E886" s="26" t="s">
        <v>7011</v>
      </c>
      <c r="F886" s="53" t="s">
        <v>7029</v>
      </c>
      <c r="G886" s="56" t="s">
        <v>18</v>
      </c>
      <c r="H886" s="466"/>
      <c r="I886" s="53" t="s">
        <v>19</v>
      </c>
      <c r="J886" s="791">
        <v>68436</v>
      </c>
      <c r="K886" s="53">
        <v>60.512799999999999</v>
      </c>
      <c r="L886" s="59">
        <f t="shared" ref="L886:L900" si="97">J886/K886</f>
        <v>1130.9342816726378</v>
      </c>
      <c r="M886" s="53">
        <v>60</v>
      </c>
      <c r="N886" s="57">
        <f t="shared" si="93"/>
        <v>1140.5999999999999</v>
      </c>
      <c r="O886" s="38">
        <f t="shared" ca="1" si="94"/>
        <v>4</v>
      </c>
      <c r="P886" s="36">
        <f t="shared" ca="1" si="95"/>
        <v>63873.599999999999</v>
      </c>
      <c r="Q886" s="36">
        <f t="shared" ref="Q886:Q903" ca="1" si="98">IF(P886&lt;1,1,P886)</f>
        <v>63873.599999999999</v>
      </c>
      <c r="R886" s="53" t="s">
        <v>2702</v>
      </c>
    </row>
    <row r="887" spans="2:18" s="4" customFormat="1" ht="66.75" customHeight="1" x14ac:dyDescent="0.25">
      <c r="B887" s="24">
        <v>45741</v>
      </c>
      <c r="C887" s="24">
        <v>45804</v>
      </c>
      <c r="D887" s="56" t="s">
        <v>7010</v>
      </c>
      <c r="E887" s="26" t="s">
        <v>7013</v>
      </c>
      <c r="F887" s="53" t="s">
        <v>7029</v>
      </c>
      <c r="G887" s="56" t="s">
        <v>18</v>
      </c>
      <c r="H887" s="466"/>
      <c r="I887" s="53" t="s">
        <v>19</v>
      </c>
      <c r="J887" s="791">
        <v>68436</v>
      </c>
      <c r="K887" s="53">
        <v>60.512799999999999</v>
      </c>
      <c r="L887" s="59">
        <f t="shared" si="97"/>
        <v>1130.9342816726378</v>
      </c>
      <c r="M887" s="53">
        <v>60</v>
      </c>
      <c r="N887" s="57">
        <f t="shared" si="93"/>
        <v>1140.5999999999999</v>
      </c>
      <c r="O887" s="38">
        <f t="shared" ca="1" si="94"/>
        <v>4</v>
      </c>
      <c r="P887" s="36">
        <f t="shared" ca="1" si="95"/>
        <v>63873.599999999999</v>
      </c>
      <c r="Q887" s="36">
        <f t="shared" ca="1" si="98"/>
        <v>63873.599999999999</v>
      </c>
      <c r="R887" s="53" t="s">
        <v>2702</v>
      </c>
    </row>
    <row r="888" spans="2:18" s="4" customFormat="1" ht="66.75" customHeight="1" x14ac:dyDescent="0.25">
      <c r="B888" s="24">
        <v>45741</v>
      </c>
      <c r="C888" s="24">
        <v>45804</v>
      </c>
      <c r="D888" s="56" t="s">
        <v>7010</v>
      </c>
      <c r="E888" s="26" t="s">
        <v>7014</v>
      </c>
      <c r="F888" s="53" t="s">
        <v>7029</v>
      </c>
      <c r="G888" s="56" t="s">
        <v>18</v>
      </c>
      <c r="H888" s="466"/>
      <c r="I888" s="53" t="s">
        <v>19</v>
      </c>
      <c r="J888" s="791">
        <v>68436</v>
      </c>
      <c r="K888" s="53">
        <v>60.512799999999999</v>
      </c>
      <c r="L888" s="59">
        <f t="shared" si="97"/>
        <v>1130.9342816726378</v>
      </c>
      <c r="M888" s="53">
        <v>60</v>
      </c>
      <c r="N888" s="57">
        <f t="shared" si="93"/>
        <v>1140.5999999999999</v>
      </c>
      <c r="O888" s="38">
        <f t="shared" ca="1" si="94"/>
        <v>4</v>
      </c>
      <c r="P888" s="36">
        <f t="shared" ca="1" si="95"/>
        <v>63873.599999999999</v>
      </c>
      <c r="Q888" s="36">
        <f t="shared" ca="1" si="98"/>
        <v>63873.599999999999</v>
      </c>
      <c r="R888" s="53" t="s">
        <v>2702</v>
      </c>
    </row>
    <row r="889" spans="2:18" s="4" customFormat="1" ht="66.75" customHeight="1" x14ac:dyDescent="0.25">
      <c r="B889" s="24">
        <v>45741</v>
      </c>
      <c r="C889" s="24">
        <v>45804</v>
      </c>
      <c r="D889" s="56" t="s">
        <v>7010</v>
      </c>
      <c r="E889" s="26" t="s">
        <v>7015</v>
      </c>
      <c r="F889" s="53" t="s">
        <v>7029</v>
      </c>
      <c r="G889" s="56" t="s">
        <v>18</v>
      </c>
      <c r="H889" s="466"/>
      <c r="I889" s="53" t="s">
        <v>19</v>
      </c>
      <c r="J889" s="791">
        <v>68436</v>
      </c>
      <c r="K889" s="53">
        <v>60.512799999999999</v>
      </c>
      <c r="L889" s="59">
        <f t="shared" si="97"/>
        <v>1130.9342816726378</v>
      </c>
      <c r="M889" s="53">
        <v>60</v>
      </c>
      <c r="N889" s="57">
        <f t="shared" si="93"/>
        <v>1140.5999999999999</v>
      </c>
      <c r="O889" s="38">
        <f t="shared" ca="1" si="94"/>
        <v>4</v>
      </c>
      <c r="P889" s="36">
        <f t="shared" ca="1" si="95"/>
        <v>63873.599999999999</v>
      </c>
      <c r="Q889" s="36">
        <f t="shared" ca="1" si="98"/>
        <v>63873.599999999999</v>
      </c>
      <c r="R889" s="53" t="s">
        <v>2702</v>
      </c>
    </row>
    <row r="890" spans="2:18" s="4" customFormat="1" ht="66.75" customHeight="1" x14ac:dyDescent="0.25">
      <c r="B890" s="24">
        <v>45741</v>
      </c>
      <c r="C890" s="24">
        <v>45804</v>
      </c>
      <c r="D890" s="56" t="s">
        <v>7010</v>
      </c>
      <c r="E890" s="26" t="s">
        <v>7016</v>
      </c>
      <c r="F890" s="53" t="s">
        <v>7029</v>
      </c>
      <c r="G890" s="56" t="s">
        <v>18</v>
      </c>
      <c r="H890" s="466"/>
      <c r="I890" s="53" t="s">
        <v>19</v>
      </c>
      <c r="J890" s="791">
        <v>68436</v>
      </c>
      <c r="K890" s="53">
        <v>60.512799999999999</v>
      </c>
      <c r="L890" s="59">
        <f t="shared" si="97"/>
        <v>1130.9342816726378</v>
      </c>
      <c r="M890" s="53">
        <v>60</v>
      </c>
      <c r="N890" s="57">
        <f t="shared" si="93"/>
        <v>1140.5999999999999</v>
      </c>
      <c r="O890" s="38">
        <f t="shared" ca="1" si="94"/>
        <v>4</v>
      </c>
      <c r="P890" s="36">
        <f t="shared" ca="1" si="95"/>
        <v>63873.599999999999</v>
      </c>
      <c r="Q890" s="36">
        <f t="shared" ca="1" si="98"/>
        <v>63873.599999999999</v>
      </c>
      <c r="R890" s="53" t="s">
        <v>2702</v>
      </c>
    </row>
    <row r="891" spans="2:18" s="4" customFormat="1" ht="66.75" customHeight="1" x14ac:dyDescent="0.25">
      <c r="B891" s="24">
        <v>45741</v>
      </c>
      <c r="C891" s="24">
        <v>45804</v>
      </c>
      <c r="D891" s="56" t="s">
        <v>7010</v>
      </c>
      <c r="E891" s="26" t="s">
        <v>7017</v>
      </c>
      <c r="F891" s="53" t="s">
        <v>7029</v>
      </c>
      <c r="G891" s="56" t="s">
        <v>18</v>
      </c>
      <c r="H891" s="466"/>
      <c r="I891" s="53" t="s">
        <v>19</v>
      </c>
      <c r="J891" s="791">
        <v>68436</v>
      </c>
      <c r="K891" s="53">
        <v>60.512799999999999</v>
      </c>
      <c r="L891" s="59">
        <f t="shared" si="97"/>
        <v>1130.9342816726378</v>
      </c>
      <c r="M891" s="53">
        <v>60</v>
      </c>
      <c r="N891" s="57">
        <f t="shared" si="93"/>
        <v>1140.5999999999999</v>
      </c>
      <c r="O891" s="38">
        <f t="shared" ca="1" si="94"/>
        <v>4</v>
      </c>
      <c r="P891" s="36">
        <f t="shared" ca="1" si="95"/>
        <v>63873.599999999999</v>
      </c>
      <c r="Q891" s="36">
        <f t="shared" ca="1" si="98"/>
        <v>63873.599999999999</v>
      </c>
      <c r="R891" s="53" t="s">
        <v>2702</v>
      </c>
    </row>
    <row r="892" spans="2:18" s="4" customFormat="1" ht="66.75" customHeight="1" x14ac:dyDescent="0.25">
      <c r="B892" s="24">
        <v>45741</v>
      </c>
      <c r="C892" s="24">
        <v>45804</v>
      </c>
      <c r="D892" s="56" t="s">
        <v>7010</v>
      </c>
      <c r="E892" s="26" t="s">
        <v>7018</v>
      </c>
      <c r="F892" s="53" t="s">
        <v>7029</v>
      </c>
      <c r="G892" s="56" t="s">
        <v>18</v>
      </c>
      <c r="H892" s="466"/>
      <c r="I892" s="53" t="s">
        <v>19</v>
      </c>
      <c r="J892" s="791">
        <v>68436</v>
      </c>
      <c r="K892" s="53">
        <v>60.512799999999999</v>
      </c>
      <c r="L892" s="59">
        <f t="shared" si="97"/>
        <v>1130.9342816726378</v>
      </c>
      <c r="M892" s="53">
        <v>60</v>
      </c>
      <c r="N892" s="57">
        <f t="shared" si="93"/>
        <v>1140.5999999999999</v>
      </c>
      <c r="O892" s="38">
        <f t="shared" ca="1" si="94"/>
        <v>4</v>
      </c>
      <c r="P892" s="36">
        <f t="shared" ca="1" si="95"/>
        <v>63873.599999999999</v>
      </c>
      <c r="Q892" s="36">
        <f t="shared" ca="1" si="98"/>
        <v>63873.599999999999</v>
      </c>
      <c r="R892" s="53" t="s">
        <v>2702</v>
      </c>
    </row>
    <row r="893" spans="2:18" s="4" customFormat="1" ht="66.75" customHeight="1" x14ac:dyDescent="0.25">
      <c r="B893" s="24">
        <v>45741</v>
      </c>
      <c r="C893" s="24">
        <v>45804</v>
      </c>
      <c r="D893" s="56" t="s">
        <v>7010</v>
      </c>
      <c r="E893" s="26" t="s">
        <v>7019</v>
      </c>
      <c r="F893" s="53" t="s">
        <v>7029</v>
      </c>
      <c r="G893" s="56" t="s">
        <v>18</v>
      </c>
      <c r="H893" s="466"/>
      <c r="I893" s="53" t="s">
        <v>19</v>
      </c>
      <c r="J893" s="791">
        <v>68436</v>
      </c>
      <c r="K893" s="53">
        <v>60.512799999999999</v>
      </c>
      <c r="L893" s="59">
        <f t="shared" si="97"/>
        <v>1130.9342816726378</v>
      </c>
      <c r="M893" s="53">
        <v>60</v>
      </c>
      <c r="N893" s="57">
        <f t="shared" si="93"/>
        <v>1140.5999999999999</v>
      </c>
      <c r="O893" s="38">
        <f t="shared" ca="1" si="94"/>
        <v>4</v>
      </c>
      <c r="P893" s="36">
        <f t="shared" ca="1" si="95"/>
        <v>63873.599999999999</v>
      </c>
      <c r="Q893" s="36">
        <f t="shared" ca="1" si="98"/>
        <v>63873.599999999999</v>
      </c>
      <c r="R893" s="53" t="s">
        <v>2702</v>
      </c>
    </row>
    <row r="894" spans="2:18" s="4" customFormat="1" ht="66.75" customHeight="1" x14ac:dyDescent="0.25">
      <c r="B894" s="24">
        <v>45741</v>
      </c>
      <c r="C894" s="24">
        <v>45804</v>
      </c>
      <c r="D894" s="56" t="s">
        <v>7010</v>
      </c>
      <c r="E894" s="26" t="s">
        <v>7020</v>
      </c>
      <c r="F894" s="53" t="s">
        <v>7029</v>
      </c>
      <c r="G894" s="56" t="s">
        <v>18</v>
      </c>
      <c r="H894" s="466"/>
      <c r="I894" s="53" t="s">
        <v>19</v>
      </c>
      <c r="J894" s="791">
        <v>68436</v>
      </c>
      <c r="K894" s="53">
        <v>60.512799999999999</v>
      </c>
      <c r="L894" s="59">
        <f t="shared" si="97"/>
        <v>1130.9342816726378</v>
      </c>
      <c r="M894" s="53">
        <v>60</v>
      </c>
      <c r="N894" s="57">
        <f t="shared" si="93"/>
        <v>1140.5999999999999</v>
      </c>
      <c r="O894" s="38">
        <f t="shared" ca="1" si="94"/>
        <v>4</v>
      </c>
      <c r="P894" s="36">
        <f t="shared" ca="1" si="95"/>
        <v>63873.599999999999</v>
      </c>
      <c r="Q894" s="36">
        <f t="shared" ca="1" si="98"/>
        <v>63873.599999999999</v>
      </c>
      <c r="R894" s="53" t="s">
        <v>2702</v>
      </c>
    </row>
    <row r="895" spans="2:18" s="4" customFormat="1" ht="66.75" customHeight="1" x14ac:dyDescent="0.25">
      <c r="B895" s="24">
        <v>45741</v>
      </c>
      <c r="C895" s="24">
        <v>45804</v>
      </c>
      <c r="D895" s="56" t="s">
        <v>7010</v>
      </c>
      <c r="E895" s="26" t="s">
        <v>7021</v>
      </c>
      <c r="F895" s="53" t="s">
        <v>7029</v>
      </c>
      <c r="G895" s="56" t="s">
        <v>18</v>
      </c>
      <c r="H895" s="466"/>
      <c r="I895" s="53" t="s">
        <v>19</v>
      </c>
      <c r="J895" s="791">
        <v>68436</v>
      </c>
      <c r="K895" s="53">
        <v>60.512799999999999</v>
      </c>
      <c r="L895" s="59">
        <f t="shared" si="97"/>
        <v>1130.9342816726378</v>
      </c>
      <c r="M895" s="53">
        <v>60</v>
      </c>
      <c r="N895" s="57">
        <f t="shared" si="93"/>
        <v>1140.5999999999999</v>
      </c>
      <c r="O895" s="38">
        <f t="shared" ca="1" si="94"/>
        <v>4</v>
      </c>
      <c r="P895" s="36">
        <f t="shared" ca="1" si="95"/>
        <v>63873.599999999999</v>
      </c>
      <c r="Q895" s="36">
        <f t="shared" ca="1" si="98"/>
        <v>63873.599999999999</v>
      </c>
      <c r="R895" s="53" t="s">
        <v>2702</v>
      </c>
    </row>
    <row r="896" spans="2:18" s="4" customFormat="1" ht="66.75" customHeight="1" x14ac:dyDescent="0.25">
      <c r="B896" s="24">
        <v>45741</v>
      </c>
      <c r="C896" s="24">
        <v>45804</v>
      </c>
      <c r="D896" s="56" t="s">
        <v>7010</v>
      </c>
      <c r="E896" s="26" t="s">
        <v>7022</v>
      </c>
      <c r="F896" s="53" t="s">
        <v>7029</v>
      </c>
      <c r="G896" s="56" t="s">
        <v>18</v>
      </c>
      <c r="H896" s="466"/>
      <c r="I896" s="53" t="s">
        <v>19</v>
      </c>
      <c r="J896" s="791">
        <v>68436</v>
      </c>
      <c r="K896" s="53">
        <v>60.512799999999999</v>
      </c>
      <c r="L896" s="59">
        <f t="shared" si="97"/>
        <v>1130.9342816726378</v>
      </c>
      <c r="M896" s="53">
        <v>60</v>
      </c>
      <c r="N896" s="57">
        <f t="shared" si="93"/>
        <v>1140.5999999999999</v>
      </c>
      <c r="O896" s="38">
        <f t="shared" ca="1" si="94"/>
        <v>4</v>
      </c>
      <c r="P896" s="36">
        <f t="shared" ca="1" si="95"/>
        <v>63873.599999999999</v>
      </c>
      <c r="Q896" s="36">
        <f t="shared" ca="1" si="98"/>
        <v>63873.599999999999</v>
      </c>
      <c r="R896" s="53" t="s">
        <v>2702</v>
      </c>
    </row>
    <row r="897" spans="2:18" s="4" customFormat="1" ht="66.75" customHeight="1" x14ac:dyDescent="0.25">
      <c r="B897" s="24">
        <v>45741</v>
      </c>
      <c r="C897" s="24">
        <v>45804</v>
      </c>
      <c r="D897" s="56" t="s">
        <v>7010</v>
      </c>
      <c r="E897" s="26" t="s">
        <v>7023</v>
      </c>
      <c r="F897" s="53" t="s">
        <v>7029</v>
      </c>
      <c r="G897" s="56" t="s">
        <v>18</v>
      </c>
      <c r="H897" s="466"/>
      <c r="I897" s="53" t="s">
        <v>19</v>
      </c>
      <c r="J897" s="791">
        <v>68436</v>
      </c>
      <c r="K897" s="53">
        <v>60.512799999999999</v>
      </c>
      <c r="L897" s="59">
        <f t="shared" si="97"/>
        <v>1130.9342816726378</v>
      </c>
      <c r="M897" s="53">
        <v>60</v>
      </c>
      <c r="N897" s="57">
        <f t="shared" si="93"/>
        <v>1140.5999999999999</v>
      </c>
      <c r="O897" s="38">
        <f t="shared" ca="1" si="94"/>
        <v>4</v>
      </c>
      <c r="P897" s="36">
        <f t="shared" ca="1" si="95"/>
        <v>63873.599999999999</v>
      </c>
      <c r="Q897" s="36">
        <f t="shared" ca="1" si="98"/>
        <v>63873.599999999999</v>
      </c>
      <c r="R897" s="53" t="s">
        <v>2702</v>
      </c>
    </row>
    <row r="898" spans="2:18" s="4" customFormat="1" ht="66.75" customHeight="1" x14ac:dyDescent="0.25">
      <c r="B898" s="24">
        <v>45741</v>
      </c>
      <c r="C898" s="24">
        <v>45804</v>
      </c>
      <c r="D898" s="56" t="s">
        <v>7010</v>
      </c>
      <c r="E898" s="26" t="s">
        <v>7024</v>
      </c>
      <c r="F898" s="53" t="s">
        <v>7029</v>
      </c>
      <c r="G898" s="56" t="s">
        <v>18</v>
      </c>
      <c r="H898" s="466"/>
      <c r="I898" s="53" t="s">
        <v>19</v>
      </c>
      <c r="J898" s="791">
        <v>68436</v>
      </c>
      <c r="K898" s="53">
        <v>60.512799999999999</v>
      </c>
      <c r="L898" s="59">
        <f t="shared" si="97"/>
        <v>1130.9342816726378</v>
      </c>
      <c r="M898" s="53">
        <v>60</v>
      </c>
      <c r="N898" s="57">
        <f t="shared" si="93"/>
        <v>1140.5999999999999</v>
      </c>
      <c r="O898" s="38">
        <f t="shared" ca="1" si="94"/>
        <v>4</v>
      </c>
      <c r="P898" s="36">
        <f t="shared" ca="1" si="95"/>
        <v>63873.599999999999</v>
      </c>
      <c r="Q898" s="36">
        <f t="shared" ca="1" si="98"/>
        <v>63873.599999999999</v>
      </c>
      <c r="R898" s="53" t="s">
        <v>2702</v>
      </c>
    </row>
    <row r="899" spans="2:18" s="4" customFormat="1" ht="66.75" customHeight="1" x14ac:dyDescent="0.25">
      <c r="B899" s="24">
        <v>45741</v>
      </c>
      <c r="C899" s="24">
        <v>45804</v>
      </c>
      <c r="D899" s="56" t="s">
        <v>7010</v>
      </c>
      <c r="E899" s="26" t="s">
        <v>7025</v>
      </c>
      <c r="F899" s="53" t="s">
        <v>7029</v>
      </c>
      <c r="G899" s="56" t="s">
        <v>18</v>
      </c>
      <c r="H899" s="466"/>
      <c r="I899" s="53" t="s">
        <v>19</v>
      </c>
      <c r="J899" s="791">
        <v>68436</v>
      </c>
      <c r="K899" s="53">
        <v>60.512799999999999</v>
      </c>
      <c r="L899" s="59">
        <f t="shared" si="97"/>
        <v>1130.9342816726378</v>
      </c>
      <c r="M899" s="53">
        <v>60</v>
      </c>
      <c r="N899" s="57">
        <f t="shared" si="93"/>
        <v>1140.5999999999999</v>
      </c>
      <c r="O899" s="38">
        <f t="shared" ca="1" si="94"/>
        <v>4</v>
      </c>
      <c r="P899" s="36">
        <f t="shared" ca="1" si="95"/>
        <v>63873.599999999999</v>
      </c>
      <c r="Q899" s="36">
        <f t="shared" ca="1" si="98"/>
        <v>63873.599999999999</v>
      </c>
      <c r="R899" s="53" t="s">
        <v>2702</v>
      </c>
    </row>
    <row r="900" spans="2:18" s="4" customFormat="1" ht="66.75" customHeight="1" x14ac:dyDescent="0.25">
      <c r="B900" s="24">
        <v>45741</v>
      </c>
      <c r="C900" s="24">
        <v>45804</v>
      </c>
      <c r="D900" s="56" t="s">
        <v>7010</v>
      </c>
      <c r="E900" s="26" t="s">
        <v>7026</v>
      </c>
      <c r="F900" s="53" t="s">
        <v>7029</v>
      </c>
      <c r="G900" s="56" t="s">
        <v>18</v>
      </c>
      <c r="H900" s="466"/>
      <c r="I900" s="53" t="s">
        <v>19</v>
      </c>
      <c r="J900" s="791">
        <v>68436</v>
      </c>
      <c r="K900" s="53">
        <v>60.512799999999999</v>
      </c>
      <c r="L900" s="59">
        <f t="shared" si="97"/>
        <v>1130.9342816726378</v>
      </c>
      <c r="M900" s="53">
        <v>60</v>
      </c>
      <c r="N900" s="57">
        <f t="shared" si="93"/>
        <v>1140.5999999999999</v>
      </c>
      <c r="O900" s="38">
        <f t="shared" ca="1" si="94"/>
        <v>4</v>
      </c>
      <c r="P900" s="36">
        <f t="shared" ca="1" si="95"/>
        <v>63873.599999999999</v>
      </c>
      <c r="Q900" s="36">
        <f t="shared" ca="1" si="98"/>
        <v>63873.599999999999</v>
      </c>
      <c r="R900" s="53" t="s">
        <v>2702</v>
      </c>
    </row>
    <row r="901" spans="2:18" s="4" customFormat="1" ht="53.25" customHeight="1" x14ac:dyDescent="0.25">
      <c r="B901" s="24">
        <v>45756</v>
      </c>
      <c r="C901" s="24">
        <v>45821</v>
      </c>
      <c r="D901" s="26" t="s">
        <v>7053</v>
      </c>
      <c r="E901" s="26" t="s">
        <v>7055</v>
      </c>
      <c r="F901" s="53" t="s">
        <v>7054</v>
      </c>
      <c r="G901" s="56" t="s">
        <v>18</v>
      </c>
      <c r="H901" s="466"/>
      <c r="I901" s="53" t="s">
        <v>19</v>
      </c>
      <c r="J901" s="791">
        <v>55500</v>
      </c>
      <c r="K901" s="53">
        <v>62.690199999999997</v>
      </c>
      <c r="L901" s="59">
        <f>J901/K901</f>
        <v>885.30583727600174</v>
      </c>
      <c r="M901" s="53">
        <v>60</v>
      </c>
      <c r="N901" s="57">
        <f>J901/M901</f>
        <v>925</v>
      </c>
      <c r="O901" s="38">
        <f t="shared" ca="1" si="94"/>
        <v>3</v>
      </c>
      <c r="P901" s="36">
        <f ca="1">IF(OR(J901=0,M901=0,O901=0),0,J901-(N901*O901))</f>
        <v>52725</v>
      </c>
      <c r="Q901" s="36">
        <f t="shared" ca="1" si="98"/>
        <v>52725</v>
      </c>
      <c r="R901" s="53" t="s">
        <v>6141</v>
      </c>
    </row>
    <row r="902" spans="2:18" s="4" customFormat="1" ht="53.25" customHeight="1" x14ac:dyDescent="0.25">
      <c r="B902" s="24">
        <v>45818</v>
      </c>
      <c r="C902" s="24">
        <v>45821</v>
      </c>
      <c r="D902" s="26" t="s">
        <v>7059</v>
      </c>
      <c r="E902" s="26" t="s">
        <v>7057</v>
      </c>
      <c r="F902" s="53" t="s">
        <v>7060</v>
      </c>
      <c r="G902" s="56" t="s">
        <v>18</v>
      </c>
      <c r="H902" s="466" t="s">
        <v>7061</v>
      </c>
      <c r="I902" s="53" t="s">
        <v>19</v>
      </c>
      <c r="J902" s="791">
        <v>30680</v>
      </c>
      <c r="K902" s="53">
        <v>62.690199999999997</v>
      </c>
      <c r="L902" s="59">
        <f t="shared" ref="L902:L903" si="99">J902/K902</f>
        <v>489.39068626356277</v>
      </c>
      <c r="M902" s="53">
        <v>60</v>
      </c>
      <c r="N902" s="57">
        <f t="shared" ref="N902:N903" si="100">J902/M902</f>
        <v>511.33333333333331</v>
      </c>
      <c r="O902" s="741">
        <f t="shared" ca="1" si="94"/>
        <v>1</v>
      </c>
      <c r="P902" s="36">
        <f t="shared" ref="P902:P903" ca="1" si="101">IF(OR(J902=0,M902=0,O902=0),0,J902-(N902*O902))</f>
        <v>30168.666666666668</v>
      </c>
      <c r="Q902" s="36">
        <f t="shared" ca="1" si="98"/>
        <v>30168.666666666668</v>
      </c>
      <c r="R902" s="742" t="s">
        <v>5729</v>
      </c>
    </row>
    <row r="903" spans="2:18" s="4" customFormat="1" ht="53.25" customHeight="1" x14ac:dyDescent="0.25">
      <c r="B903" s="24">
        <v>45818</v>
      </c>
      <c r="C903" s="24">
        <v>45821</v>
      </c>
      <c r="D903" s="26" t="s">
        <v>7059</v>
      </c>
      <c r="E903" s="26" t="s">
        <v>7058</v>
      </c>
      <c r="F903" s="53" t="s">
        <v>7060</v>
      </c>
      <c r="G903" s="56" t="s">
        <v>18</v>
      </c>
      <c r="H903" s="466" t="s">
        <v>7061</v>
      </c>
      <c r="I903" s="53" t="s">
        <v>19</v>
      </c>
      <c r="J903" s="791">
        <v>30680</v>
      </c>
      <c r="K903" s="53">
        <v>62.690199999999997</v>
      </c>
      <c r="L903" s="59">
        <f t="shared" si="99"/>
        <v>489.39068626356277</v>
      </c>
      <c r="M903" s="53">
        <v>60</v>
      </c>
      <c r="N903" s="57">
        <f t="shared" si="100"/>
        <v>511.33333333333331</v>
      </c>
      <c r="O903" s="741">
        <f t="shared" ca="1" si="94"/>
        <v>1</v>
      </c>
      <c r="P903" s="36">
        <f t="shared" ca="1" si="101"/>
        <v>30168.666666666668</v>
      </c>
      <c r="Q903" s="36">
        <f t="shared" ca="1" si="98"/>
        <v>30168.666666666668</v>
      </c>
      <c r="R903" s="742" t="s">
        <v>5729</v>
      </c>
    </row>
    <row r="904" spans="2:18" s="1" customFormat="1" ht="34.5" customHeight="1" thickBot="1" x14ac:dyDescent="0.25">
      <c r="C904" s="441"/>
      <c r="D904" s="65"/>
      <c r="E904" s="999" t="s">
        <v>2332</v>
      </c>
      <c r="F904" s="999"/>
      <c r="G904" s="999"/>
      <c r="H904" s="999"/>
      <c r="I904" s="596"/>
      <c r="J904" s="597">
        <f>SUBTOTAL(9,J8:J903)</f>
        <v>52323763.740600005</v>
      </c>
      <c r="K904" s="598"/>
      <c r="L904" s="597">
        <f>SUBTOTAL(9,L8:L903)</f>
        <v>977561.89332131937</v>
      </c>
      <c r="M904" s="599"/>
      <c r="N904" s="697"/>
      <c r="O904" s="600"/>
      <c r="P904" s="601">
        <f ca="1">SUBTOTAL(9,P8:P903)</f>
        <v>970965.0046444675</v>
      </c>
      <c r="Q904" s="969">
        <f ca="1">SUM(Q8:Q903)</f>
        <v>18187021.718541697</v>
      </c>
      <c r="R904" s="602"/>
    </row>
    <row r="905" spans="2:18" s="1" customFormat="1" ht="6.75" customHeight="1" thickTop="1" x14ac:dyDescent="0.2">
      <c r="B905" s="66"/>
      <c r="C905" s="442"/>
      <c r="D905" s="67"/>
      <c r="E905" s="67"/>
      <c r="F905" s="68"/>
      <c r="G905" s="928"/>
      <c r="H905" s="69"/>
      <c r="I905" s="69"/>
      <c r="J905" s="71"/>
      <c r="L905" s="97"/>
      <c r="M905" s="98"/>
      <c r="N905" s="99"/>
      <c r="O905" s="100"/>
      <c r="P905" s="97"/>
      <c r="Q905" s="97"/>
      <c r="R905" s="122"/>
    </row>
    <row r="906" spans="2:18" s="1" customFormat="1" ht="19.149999999999999" customHeight="1" x14ac:dyDescent="0.2">
      <c r="B906" s="66"/>
      <c r="C906" s="442"/>
      <c r="D906" s="67"/>
      <c r="E906" s="67"/>
      <c r="F906" s="68"/>
      <c r="G906" s="929"/>
      <c r="H906" s="69"/>
      <c r="I906" s="69"/>
      <c r="J906" s="71"/>
      <c r="L906" s="97"/>
      <c r="M906" s="98"/>
      <c r="N906" s="99"/>
      <c r="O906" s="100"/>
      <c r="P906" s="97"/>
      <c r="Q906" s="97"/>
      <c r="R906" s="122"/>
    </row>
    <row r="907" spans="2:18" s="1" customFormat="1" ht="15" customHeight="1" x14ac:dyDescent="0.2">
      <c r="B907" s="66"/>
      <c r="C907" s="442"/>
      <c r="D907" s="67"/>
      <c r="E907" s="67"/>
      <c r="F907" s="68"/>
      <c r="G907" s="929"/>
      <c r="H907" s="69"/>
      <c r="I907" s="69"/>
      <c r="J907" s="71"/>
      <c r="L907" s="99"/>
      <c r="M907" s="101"/>
      <c r="N907" s="99"/>
      <c r="O907" s="100"/>
      <c r="P907" s="97"/>
      <c r="Q907" s="97"/>
      <c r="R907" s="122"/>
    </row>
    <row r="908" spans="2:18" s="1" customFormat="1" ht="17.25" customHeight="1" thickBot="1" x14ac:dyDescent="0.3">
      <c r="B908" s="66"/>
      <c r="C908" s="442"/>
      <c r="D908" s="70"/>
      <c r="E908" s="70"/>
      <c r="F908" s="68"/>
      <c r="G908" s="930" t="s">
        <v>2333</v>
      </c>
      <c r="H908" s="902"/>
      <c r="I908" s="902"/>
      <c r="J908" s="102"/>
      <c r="L908" s="103" t="s">
        <v>2636</v>
      </c>
      <c r="M908" s="104" t="s">
        <v>2637</v>
      </c>
      <c r="P908" s="97"/>
      <c r="Q908" s="97"/>
      <c r="R908" s="122"/>
    </row>
    <row r="909" spans="2:18" s="1" customFormat="1" ht="16.5" thickBot="1" x14ac:dyDescent="0.3">
      <c r="B909" s="66"/>
      <c r="C909" s="442"/>
      <c r="D909" s="70"/>
      <c r="E909" s="70"/>
      <c r="F909" s="68"/>
      <c r="G909" s="930"/>
      <c r="H909" s="902" t="s">
        <v>2334</v>
      </c>
      <c r="I909" s="942" t="s">
        <v>2335</v>
      </c>
      <c r="J909" s="102"/>
      <c r="L909" s="103" t="s">
        <v>2638</v>
      </c>
      <c r="M909" s="105" t="s">
        <v>2639</v>
      </c>
      <c r="P909" s="97"/>
      <c r="Q909" s="97"/>
      <c r="R909" s="122"/>
    </row>
    <row r="910" spans="2:18" s="1" customFormat="1" ht="19.899999999999999" customHeight="1" thickBot="1" x14ac:dyDescent="0.3">
      <c r="B910" s="66"/>
      <c r="C910" s="442"/>
      <c r="D910" s="71"/>
      <c r="E910" s="71"/>
      <c r="F910" s="72"/>
      <c r="G910" s="931" t="s">
        <v>2347</v>
      </c>
      <c r="H910" s="73">
        <f>SUBTOTAL(9,J8:J25)</f>
        <v>953116.72000000009</v>
      </c>
      <c r="I910" s="74">
        <f>SUBTOTAL(9,L8:L25)</f>
        <v>21078.116359826665</v>
      </c>
      <c r="J910" s="106"/>
      <c r="K910" s="107"/>
      <c r="L910" s="108" t="s">
        <v>2640</v>
      </c>
      <c r="M910" s="104" t="s">
        <v>3950</v>
      </c>
      <c r="P910" s="97"/>
      <c r="Q910" s="97"/>
      <c r="R910" s="122"/>
    </row>
    <row r="911" spans="2:18" s="1" customFormat="1" ht="19.899999999999999" customHeight="1" thickBot="1" x14ac:dyDescent="0.3">
      <c r="B911" s="66"/>
      <c r="C911" s="442"/>
      <c r="D911" s="71"/>
      <c r="E911" s="71"/>
      <c r="F911" s="75"/>
      <c r="G911" s="932" t="s">
        <v>2348</v>
      </c>
      <c r="H911" s="76">
        <v>0</v>
      </c>
      <c r="I911" s="74">
        <v>0</v>
      </c>
      <c r="J911" s="106"/>
      <c r="K911" s="107"/>
      <c r="L911" s="106"/>
      <c r="M911" s="107"/>
      <c r="N911" s="103"/>
      <c r="O911" s="105"/>
      <c r="P911" s="97"/>
      <c r="Q911" s="97"/>
      <c r="R911" s="122"/>
    </row>
    <row r="912" spans="2:18" s="1" customFormat="1" ht="19.899999999999999" customHeight="1" thickBot="1" x14ac:dyDescent="0.3">
      <c r="B912" s="66"/>
      <c r="C912" s="442"/>
      <c r="D912" s="71"/>
      <c r="E912" s="71"/>
      <c r="F912" s="75"/>
      <c r="G912" s="932" t="s">
        <v>2351</v>
      </c>
      <c r="H912" s="74">
        <f>SUBTOTAL(9,J26:J158)</f>
        <v>13674477.669999996</v>
      </c>
      <c r="I912" s="74">
        <f>SUBTOTAL(9,L26:L158)</f>
        <v>284584.53802105895</v>
      </c>
      <c r="J912" s="109" t="s">
        <v>6397</v>
      </c>
      <c r="K912" s="106"/>
      <c r="L912" s="107"/>
      <c r="M912" s="107"/>
      <c r="N912" s="107"/>
      <c r="O912" s="97"/>
      <c r="P912" s="68"/>
      <c r="Q912" s="68"/>
      <c r="R912" s="92"/>
    </row>
    <row r="913" spans="2:18" s="1" customFormat="1" ht="19.899999999999999" customHeight="1" thickBot="1" x14ac:dyDescent="0.25">
      <c r="B913" s="66"/>
      <c r="C913" s="442"/>
      <c r="D913" s="71"/>
      <c r="E913" s="71"/>
      <c r="F913" s="75"/>
      <c r="G913" s="932" t="s">
        <v>2352</v>
      </c>
      <c r="H913" s="74">
        <f>SUBTOTAL(9,J159:J269)</f>
        <v>6222757.8010000009</v>
      </c>
      <c r="I913" s="73">
        <f>SUBTOTAL(9,L159:L269)</f>
        <v>126665.43787485553</v>
      </c>
      <c r="K913" s="106"/>
      <c r="L913" s="107"/>
      <c r="M913" s="107"/>
      <c r="N913" s="107"/>
      <c r="O913" s="97"/>
      <c r="P913" s="68"/>
      <c r="Q913" s="68"/>
      <c r="R913" s="92"/>
    </row>
    <row r="914" spans="2:18" s="1" customFormat="1" ht="19.899999999999999" customHeight="1" thickBot="1" x14ac:dyDescent="0.3">
      <c r="B914" s="66"/>
      <c r="C914" s="442"/>
      <c r="D914" s="71"/>
      <c r="E914" s="71"/>
      <c r="F914" s="75"/>
      <c r="G914" s="932" t="s">
        <v>2353</v>
      </c>
      <c r="H914" s="74">
        <f>SUM(J270:J326)</f>
        <v>1307945.2999999998</v>
      </c>
      <c r="I914" s="77">
        <f>SUM(L270:L326)</f>
        <v>25135.00698363733</v>
      </c>
      <c r="J914" s="109"/>
      <c r="K914" s="106"/>
      <c r="L914" s="107"/>
      <c r="M914" s="107"/>
      <c r="N914" s="107"/>
      <c r="O914" s="97"/>
      <c r="P914" s="68"/>
      <c r="Q914" s="68"/>
      <c r="R914" s="92"/>
    </row>
    <row r="915" spans="2:18" s="1" customFormat="1" ht="19.899999999999999" customHeight="1" thickBot="1" x14ac:dyDescent="0.3">
      <c r="B915" s="66"/>
      <c r="C915" s="442"/>
      <c r="D915" s="71"/>
      <c r="E915" s="71"/>
      <c r="F915" s="75"/>
      <c r="G915" s="932" t="s">
        <v>2354</v>
      </c>
      <c r="H915" s="74">
        <f>SUM(J327:J363)</f>
        <v>1998444.3696000003</v>
      </c>
      <c r="I915" s="73">
        <f>SUM(L327:L363)</f>
        <v>35104.55237141125</v>
      </c>
      <c r="J915" s="109" t="s">
        <v>3951</v>
      </c>
      <c r="K915" s="106"/>
      <c r="L915" s="107"/>
      <c r="M915" s="107"/>
      <c r="N915" s="107"/>
      <c r="O915" s="97"/>
      <c r="P915" s="68"/>
      <c r="Q915" s="68"/>
      <c r="R915" s="92"/>
    </row>
    <row r="916" spans="2:18" s="1" customFormat="1" ht="19.899999999999999" customHeight="1" thickBot="1" x14ac:dyDescent="0.3">
      <c r="B916" s="66"/>
      <c r="C916" s="442"/>
      <c r="D916" s="71"/>
      <c r="E916" s="71"/>
      <c r="F916" s="75"/>
      <c r="G916" s="933" t="s">
        <v>2643</v>
      </c>
      <c r="H916" s="74">
        <f>SUM(J364:J524)</f>
        <v>4403099.9799999986</v>
      </c>
      <c r="I916" s="77">
        <f>SUM(L364:L524)</f>
        <v>81276.671092540957</v>
      </c>
      <c r="J916" s="109"/>
      <c r="K916" s="106"/>
      <c r="L916" s="107"/>
      <c r="M916" s="107"/>
      <c r="N916" s="107"/>
      <c r="O916" s="97"/>
      <c r="P916" s="68"/>
      <c r="Q916" s="68"/>
      <c r="R916" s="92"/>
    </row>
    <row r="917" spans="2:18" s="1" customFormat="1" ht="19.899999999999999" customHeight="1" x14ac:dyDescent="0.25">
      <c r="B917" s="66"/>
      <c r="C917" s="442"/>
      <c r="D917" s="71"/>
      <c r="E917" s="71"/>
      <c r="F917" s="75"/>
      <c r="G917" s="934" t="s">
        <v>2644</v>
      </c>
      <c r="H917" s="79">
        <f>SUM(J525:J626)</f>
        <v>1500925.6399999994</v>
      </c>
      <c r="I917" s="80">
        <f>SUM(L525:L626)</f>
        <v>26515.979452761043</v>
      </c>
      <c r="J917" s="110"/>
      <c r="K917" s="106"/>
      <c r="L917" s="107"/>
      <c r="M917" s="107"/>
      <c r="N917" s="107"/>
      <c r="O917" s="97"/>
      <c r="P917" s="68"/>
      <c r="Q917" s="68"/>
      <c r="R917" s="92"/>
    </row>
    <row r="918" spans="2:18" s="1" customFormat="1" ht="19.899999999999999" customHeight="1" x14ac:dyDescent="0.25">
      <c r="B918" s="66"/>
      <c r="C918" s="442"/>
      <c r="D918" s="71"/>
      <c r="E918" s="71"/>
      <c r="F918" s="75"/>
      <c r="G918" s="935" t="s">
        <v>4316</v>
      </c>
      <c r="H918" s="431">
        <f>SUM(J627:J685)</f>
        <v>4232295.3</v>
      </c>
      <c r="I918" s="431">
        <f>SUM(L627:L685)</f>
        <v>75166.366933186131</v>
      </c>
      <c r="J918" s="109" t="s">
        <v>5838</v>
      </c>
      <c r="K918" s="106"/>
      <c r="L918" s="107"/>
      <c r="M918" s="107"/>
      <c r="N918" s="107"/>
      <c r="O918" s="97"/>
      <c r="P918" s="68"/>
      <c r="Q918" s="68"/>
      <c r="R918" s="92"/>
    </row>
    <row r="919" spans="2:18" s="1" customFormat="1" ht="19.899999999999999" customHeight="1" x14ac:dyDescent="0.25">
      <c r="B919" s="66"/>
      <c r="C919" s="442"/>
      <c r="D919" s="71"/>
      <c r="E919" s="71"/>
      <c r="F919" s="75"/>
      <c r="G919" s="935" t="s">
        <v>5837</v>
      </c>
      <c r="H919" s="431">
        <f>SUM(J686:J880)</f>
        <v>14724868.960000016</v>
      </c>
      <c r="I919" s="431">
        <f>SUM(L686:L880)</f>
        <v>247667.90518886346</v>
      </c>
      <c r="J919" s="698" t="s">
        <v>5839</v>
      </c>
      <c r="K919" s="106"/>
      <c r="L919" s="107"/>
      <c r="M919" s="107"/>
      <c r="N919" s="107"/>
      <c r="O919" s="97"/>
      <c r="P919" s="68"/>
      <c r="Q919" s="68"/>
      <c r="R919" s="92"/>
    </row>
    <row r="920" spans="2:18" s="1" customFormat="1" ht="19.899999999999999" customHeight="1" x14ac:dyDescent="0.25">
      <c r="B920" s="66"/>
      <c r="C920" s="442"/>
      <c r="D920" s="71"/>
      <c r="E920" s="71"/>
      <c r="F920" s="75"/>
      <c r="G920" s="935" t="s">
        <v>7056</v>
      </c>
      <c r="H920" s="431">
        <f>SUM(J881:J903)</f>
        <v>3305832</v>
      </c>
      <c r="I920" s="431">
        <f>SUM(L881:L903)</f>
        <v>54367.319043186551</v>
      </c>
      <c r="J920" s="698" t="s">
        <v>5840</v>
      </c>
      <c r="K920" s="106"/>
      <c r="L920" s="107"/>
      <c r="M920" s="107"/>
      <c r="N920" s="107"/>
      <c r="O920" s="97"/>
      <c r="P920" s="68"/>
      <c r="Q920" s="68"/>
      <c r="R920" s="92"/>
    </row>
    <row r="921" spans="2:18" s="1" customFormat="1" ht="18.75" customHeight="1" thickBot="1" x14ac:dyDescent="0.25">
      <c r="B921" s="66"/>
      <c r="C921" s="442"/>
      <c r="D921" s="70"/>
      <c r="E921" s="70"/>
      <c r="F921" s="68"/>
      <c r="G921" s="936" t="s">
        <v>2357</v>
      </c>
      <c r="H921" s="430">
        <f>SUM(H910:H920)</f>
        <v>52323763.740600012</v>
      </c>
      <c r="I921" s="430">
        <f>SUM(I910:I920)</f>
        <v>977561.89332132763</v>
      </c>
      <c r="L921" s="112"/>
      <c r="R921" s="122"/>
    </row>
    <row r="922" spans="2:18" s="1" customFormat="1" x14ac:dyDescent="0.2">
      <c r="B922" s="66"/>
      <c r="C922" s="442"/>
      <c r="D922" s="70"/>
      <c r="E922" s="70"/>
      <c r="F922" s="68"/>
      <c r="G922" s="937"/>
      <c r="H922" s="82"/>
      <c r="I922" s="82"/>
      <c r="J922" s="111"/>
      <c r="R922" s="122"/>
    </row>
    <row r="923" spans="2:18" s="1" customFormat="1" x14ac:dyDescent="0.2">
      <c r="B923" s="66"/>
      <c r="C923" s="442"/>
      <c r="D923" s="70"/>
      <c r="E923" s="70"/>
      <c r="F923" s="68"/>
      <c r="G923" s="937"/>
      <c r="H923" s="82"/>
      <c r="I923" s="82"/>
      <c r="J923" s="111"/>
      <c r="R923" s="122"/>
    </row>
    <row r="924" spans="2:18" s="1" customFormat="1" x14ac:dyDescent="0.2">
      <c r="B924" s="83"/>
      <c r="C924" s="446"/>
      <c r="D924" s="84"/>
      <c r="E924" s="84"/>
      <c r="G924" s="938"/>
      <c r="H924" s="86"/>
      <c r="I924" s="86"/>
      <c r="J924" s="113"/>
      <c r="K924" s="114"/>
      <c r="L924" s="114"/>
      <c r="M924" s="114"/>
      <c r="N924" s="114"/>
      <c r="O924" s="114"/>
      <c r="P924" s="114"/>
      <c r="Q924" s="114"/>
      <c r="R924" s="123"/>
    </row>
    <row r="925" spans="2:18" s="1" customFormat="1" ht="3.75" customHeight="1" x14ac:dyDescent="0.2">
      <c r="B925" s="87"/>
      <c r="C925" s="447"/>
      <c r="D925" s="88"/>
      <c r="E925" s="88"/>
      <c r="F925" s="89"/>
      <c r="G925" s="939"/>
      <c r="H925" s="91"/>
      <c r="I925" s="91"/>
      <c r="J925" s="115"/>
      <c r="K925" s="116"/>
      <c r="L925" s="116"/>
      <c r="M925" s="116"/>
      <c r="N925" s="116"/>
      <c r="O925" s="116"/>
      <c r="P925" s="116"/>
      <c r="Q925" s="116"/>
      <c r="R925" s="124"/>
    </row>
    <row r="926" spans="2:18" s="7" customFormat="1" ht="216.75" customHeight="1" x14ac:dyDescent="0.25">
      <c r="B926" s="699" t="s">
        <v>2358</v>
      </c>
      <c r="C926" s="423"/>
      <c r="D926"/>
      <c r="E926"/>
      <c r="F926" s="998" t="s">
        <v>2359</v>
      </c>
      <c r="G926" s="998"/>
      <c r="H926"/>
      <c r="I926"/>
      <c r="J926" s="977" t="s">
        <v>2360</v>
      </c>
      <c r="K926" s="977"/>
      <c r="L926" s="977"/>
      <c r="M926" s="977"/>
      <c r="N926" s="128"/>
      <c r="O926" s="128"/>
      <c r="P926" s="675"/>
      <c r="Q926" s="677"/>
    </row>
    <row r="927" spans="2:18" s="1" customFormat="1" ht="15" x14ac:dyDescent="0.25">
      <c r="B927" s="424"/>
      <c r="C927" s="424"/>
      <c r="D927"/>
      <c r="E927"/>
      <c r="F927" s="373"/>
      <c r="G927" s="940"/>
      <c r="H927"/>
      <c r="I927"/>
      <c r="J927"/>
      <c r="K927"/>
      <c r="L927" s="120"/>
      <c r="M927" s="120"/>
      <c r="N927" s="120"/>
      <c r="O927" s="120"/>
      <c r="Q927" s="122"/>
    </row>
    <row r="928" spans="2:18" s="1" customFormat="1" ht="15" x14ac:dyDescent="0.25">
      <c r="B928" s="419"/>
      <c r="C928" s="419"/>
      <c r="D928"/>
      <c r="E928"/>
      <c r="F928" s="374"/>
      <c r="G928" s="323"/>
      <c r="H928"/>
      <c r="I928"/>
      <c r="J928"/>
      <c r="K928"/>
      <c r="L928" s="120"/>
      <c r="M928" s="120"/>
      <c r="N928" s="120"/>
      <c r="O928" s="120"/>
      <c r="Q928" s="122"/>
    </row>
    <row r="929" spans="1:18" s="1" customFormat="1" ht="15" x14ac:dyDescent="0.25">
      <c r="A929" s="92"/>
      <c r="B929" s="425" t="s">
        <v>2361</v>
      </c>
      <c r="C929" s="425"/>
      <c r="D929"/>
      <c r="E929"/>
      <c r="F929" s="665" t="s">
        <v>2362</v>
      </c>
      <c r="G929" s="323"/>
      <c r="H929"/>
      <c r="I929"/>
      <c r="J929"/>
      <c r="K929"/>
      <c r="L929"/>
      <c r="M929" s="324"/>
      <c r="N929" s="511"/>
      <c r="O929" s="509"/>
      <c r="P929" s="123"/>
      <c r="R929" s="661"/>
    </row>
    <row r="930" spans="1:18" s="8" customFormat="1" ht="15" x14ac:dyDescent="0.25">
      <c r="B930" s="671" t="s">
        <v>4880</v>
      </c>
      <c r="C930" s="419"/>
      <c r="D930"/>
      <c r="E930" s="376"/>
      <c r="F930" s="426" t="s">
        <v>4878</v>
      </c>
      <c r="G930" s="323"/>
      <c r="H930" s="664" t="s">
        <v>2363</v>
      </c>
      <c r="I930" s="321"/>
      <c r="J930" s="667" t="s">
        <v>5841</v>
      </c>
      <c r="K930" s="667"/>
      <c r="L930" s="669" t="s">
        <v>4871</v>
      </c>
      <c r="M930" s="666"/>
      <c r="N930" s="511"/>
      <c r="O930" s="509"/>
      <c r="P930" s="660"/>
      <c r="R930" s="662"/>
    </row>
    <row r="931" spans="1:18" s="1" customFormat="1" ht="13.9" customHeight="1" x14ac:dyDescent="0.25">
      <c r="B931" s="701" t="s">
        <v>4881</v>
      </c>
      <c r="C931" s="793"/>
      <c r="D931"/>
      <c r="E931" s="377"/>
      <c r="F931" s="700" t="s">
        <v>4879</v>
      </c>
      <c r="G931" s="323"/>
      <c r="H931" s="971" t="s">
        <v>2364</v>
      </c>
      <c r="I931" s="971"/>
      <c r="J931" s="702" t="s">
        <v>2645</v>
      </c>
      <c r="K931" s="668"/>
      <c r="L931" s="703" t="s">
        <v>4872</v>
      </c>
      <c r="M931" s="657"/>
      <c r="N931" s="511"/>
      <c r="O931" s="509"/>
      <c r="P931" s="655"/>
      <c r="Q931" s="656"/>
    </row>
    <row r="932" spans="1:18" s="1" customFormat="1" ht="13.9" customHeight="1" x14ac:dyDescent="0.25">
      <c r="B932" s="423" t="s">
        <v>6387</v>
      </c>
      <c r="C932" s="423"/>
      <c r="D932" s="378"/>
      <c r="E932"/>
      <c r="F932"/>
      <c r="G932" s="323"/>
      <c r="H932" s="379"/>
      <c r="I932" s="379"/>
      <c r="J932" s="379"/>
      <c r="K932"/>
      <c r="L932"/>
      <c r="M932" s="324"/>
      <c r="N932" s="511"/>
      <c r="O932" s="509"/>
      <c r="P932" s="119"/>
      <c r="Q932" s="125"/>
    </row>
    <row r="933" spans="1:18" ht="15" x14ac:dyDescent="0.25">
      <c r="B933" s="419"/>
      <c r="C933" s="419"/>
      <c r="D933"/>
      <c r="E933"/>
      <c r="F933"/>
      <c r="G933" s="323"/>
      <c r="H933"/>
      <c r="I933"/>
      <c r="J933"/>
      <c r="K933"/>
      <c r="L933"/>
      <c r="M933" s="324"/>
      <c r="N933" s="511"/>
      <c r="O933" s="509"/>
    </row>
    <row r="934" spans="1:18" ht="15" x14ac:dyDescent="0.25">
      <c r="B934" s="419"/>
      <c r="C934" s="419"/>
      <c r="D934"/>
      <c r="E934"/>
      <c r="F934"/>
      <c r="G934" s="323"/>
      <c r="H934"/>
      <c r="I934"/>
      <c r="J934"/>
      <c r="K934"/>
      <c r="L934"/>
      <c r="M934" s="324"/>
      <c r="N934" s="511"/>
      <c r="O934" s="509"/>
    </row>
    <row r="935" spans="1:18" ht="15" x14ac:dyDescent="0.25">
      <c r="L935" s="109"/>
      <c r="M935" s="120"/>
    </row>
    <row r="936" spans="1:18" ht="15" x14ac:dyDescent="0.25">
      <c r="H936" s="94"/>
      <c r="I936" s="95"/>
      <c r="L936" s="120"/>
      <c r="M936" s="109"/>
    </row>
    <row r="937" spans="1:18" ht="15" x14ac:dyDescent="0.25">
      <c r="I937" s="95"/>
    </row>
    <row r="938" spans="1:18" ht="15" x14ac:dyDescent="0.25">
      <c r="I938" s="95"/>
      <c r="J938" s="121"/>
    </row>
    <row r="939" spans="1:18" ht="15" x14ac:dyDescent="0.25">
      <c r="I939" s="95"/>
      <c r="L939" s="9" t="s">
        <v>2048</v>
      </c>
    </row>
    <row r="940" spans="1:18" ht="15" x14ac:dyDescent="0.25">
      <c r="F940" s="96"/>
      <c r="I940" s="95"/>
    </row>
    <row r="941" spans="1:18" ht="15" x14ac:dyDescent="0.25">
      <c r="I941" s="95"/>
    </row>
    <row r="942" spans="1:18" ht="15" x14ac:dyDescent="0.25">
      <c r="I942" s="95"/>
    </row>
    <row r="943" spans="1:18" ht="15" x14ac:dyDescent="0.25">
      <c r="I943" s="95"/>
    </row>
    <row r="944" spans="1:18" ht="15" x14ac:dyDescent="0.25">
      <c r="I944" s="95"/>
    </row>
  </sheetData>
  <mergeCells count="4">
    <mergeCell ref="F926:G926"/>
    <mergeCell ref="H931:I931"/>
    <mergeCell ref="E904:H904"/>
    <mergeCell ref="J926:M926"/>
  </mergeCells>
  <phoneticPr fontId="1" type="noConversion"/>
  <printOptions horizontalCentered="1" verticalCentered="1"/>
  <pageMargins left="1.0629921259842521" right="0.51181102362204722" top="0.74803149606299213" bottom="0.74803149606299213" header="0.31496062992125984" footer="0.31496062992125984"/>
  <pageSetup scale="45" fitToWidth="0" fitToHeight="0" orientation="landscape" r:id="rId1"/>
  <headerFooter alignWithMargins="0">
    <oddHeader xml:space="preserve">&amp;R
</oddHeader>
    <oddFooter xml:space="preserve">&amp;C&amp;"Arial,Negrita"&amp;P 81
</oddFooter>
  </headerFooter>
  <rowBreaks count="62" manualBreakCount="62">
    <brk id="18" min="1" max="16" man="1"/>
    <brk id="32" min="1" max="16" man="1"/>
    <brk id="46" min="1" max="16" man="1"/>
    <brk id="55" min="1" max="16" man="1"/>
    <brk id="60" min="1" max="16" man="1"/>
    <brk id="70" min="1" max="16" man="1"/>
    <brk id="81" min="1" max="16" man="1"/>
    <brk id="93" min="1" max="16" man="1"/>
    <brk id="103" min="1" max="16" man="1"/>
    <brk id="113" min="1" max="16" man="1"/>
    <brk id="123" min="1" max="16" man="1"/>
    <brk id="133" min="1" max="16" man="1"/>
    <brk id="142" min="1" max="16" man="1"/>
    <brk id="155" min="1" max="16" man="1"/>
    <brk id="168" min="1" max="16" man="1"/>
    <brk id="180" min="1" max="16" man="1"/>
    <brk id="191" min="1" max="16" man="1"/>
    <brk id="204" min="1" max="16" man="1"/>
    <brk id="219" min="1" max="16" man="1"/>
    <brk id="235" min="1" max="16" man="1"/>
    <brk id="249" min="1" max="16" man="1"/>
    <brk id="263" min="1" max="16" man="1"/>
    <brk id="279" min="1" max="16" man="1"/>
    <brk id="291" min="1" max="16" man="1"/>
    <brk id="306" min="1" max="16" man="1"/>
    <brk id="319" min="1" max="16" man="1"/>
    <brk id="329" min="1" max="16" man="1"/>
    <brk id="348" min="1" max="16" man="1"/>
    <brk id="363" min="1" max="16" man="1"/>
    <brk id="372" min="1" max="16" man="1"/>
    <brk id="387" min="1" max="16" man="1"/>
    <brk id="401" min="1" max="16" man="1"/>
    <brk id="410" min="1" max="16" man="1"/>
    <brk id="421" min="1" max="16" man="1"/>
    <brk id="435" min="1" max="16" man="1"/>
    <brk id="452" min="1" max="16" man="1"/>
    <brk id="461" min="1" max="16" man="1"/>
    <brk id="470" min="1" max="16" man="1"/>
    <brk id="478" min="1" max="16" man="1"/>
    <brk id="485" min="1" max="16" man="1"/>
    <brk id="493" min="1" max="16" man="1"/>
    <brk id="500" min="1" max="16" man="1"/>
    <brk id="508" min="1" max="16" man="1"/>
    <brk id="516" min="1" max="16" man="1"/>
    <brk id="524" min="1" max="16" man="1"/>
    <brk id="533" min="1" max="16" man="1"/>
    <brk id="541" min="1" max="16" man="1"/>
    <brk id="544" min="1" max="16" man="1"/>
    <brk id="553" min="1" max="16" man="1"/>
    <brk id="560" min="1" max="16" man="1"/>
    <brk id="568" min="1" max="16" man="1"/>
    <brk id="576" min="1" max="16" man="1"/>
    <brk id="583" min="1" max="16" man="1"/>
    <brk id="591" min="1" max="16" man="1"/>
    <brk id="598" min="1" max="16" man="1"/>
    <brk id="606" min="1" max="16" man="1"/>
    <brk id="614" min="1" max="16" man="1"/>
    <brk id="622" min="1" max="16" man="1"/>
    <brk id="632" min="1" max="16" man="1"/>
    <brk id="648" max="16383" man="1"/>
    <brk id="667" min="1" max="16" man="1"/>
    <brk id="906" min="1" max="16" man="1"/>
  </rowBreaks>
  <ignoredErrors>
    <ignoredError sqref="B356" twoDigitTextYear="1"/>
    <ignoredError sqref="G108:G112" numberStoredAsText="1"/>
    <ignoredError sqref="H916" formulaRange="1"/>
    <ignoredError sqref="N506:N524 N624:N626 N496:N501 N460:N465 N456:N457 N458:N459 N368:N455 L368:L379 N468:N486 N627:N685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8BB4C-EDAC-4E99-92F4-ACD8F250979D}">
  <dimension ref="A3:Q391"/>
  <sheetViews>
    <sheetView zoomScale="80" zoomScaleNormal="80" workbookViewId="0">
      <pane ySplit="1" topLeftCell="A2" activePane="bottomLeft" state="frozen"/>
      <selection pane="bottomLeft" activeCell="J18" sqref="J18"/>
    </sheetView>
  </sheetViews>
  <sheetFormatPr baseColWidth="10" defaultRowHeight="15" x14ac:dyDescent="0.25"/>
  <cols>
    <col min="1" max="1" width="6" customWidth="1"/>
    <col min="5" max="5" width="11.42578125" style="606"/>
    <col min="6" max="6" width="16.85546875" customWidth="1"/>
    <col min="7" max="7" width="19.140625" customWidth="1"/>
    <col min="8" max="8" width="18.140625" customWidth="1"/>
    <col min="9" max="9" width="16.28515625" customWidth="1"/>
    <col min="10" max="10" width="19.42578125" style="621" customWidth="1"/>
    <col min="12" max="12" width="16.42578125" customWidth="1"/>
    <col min="14" max="14" width="12.28515625" customWidth="1"/>
    <col min="16" max="16" width="16.7109375" customWidth="1"/>
    <col min="17" max="17" width="15.28515625" customWidth="1"/>
  </cols>
  <sheetData>
    <row r="3" spans="1:17" ht="54" customHeight="1" x14ac:dyDescent="0.3">
      <c r="A3" s="945"/>
      <c r="B3" s="945"/>
      <c r="C3" s="945"/>
      <c r="D3" s="945"/>
      <c r="E3" s="945"/>
      <c r="F3" s="945"/>
      <c r="G3" s="945"/>
      <c r="H3" s="945"/>
      <c r="I3" s="945"/>
      <c r="J3" s="945"/>
      <c r="K3" s="945"/>
      <c r="L3" s="945"/>
      <c r="M3" s="945"/>
      <c r="N3" s="945"/>
      <c r="O3" s="945"/>
      <c r="P3" s="945"/>
      <c r="Q3" s="945"/>
    </row>
    <row r="4" spans="1:17" ht="21" customHeight="1" x14ac:dyDescent="0.3">
      <c r="B4" s="948" t="s">
        <v>7090</v>
      </c>
      <c r="C4" s="946"/>
      <c r="D4" s="946"/>
      <c r="E4" s="946"/>
      <c r="F4" s="946"/>
      <c r="G4" s="948"/>
      <c r="H4" s="946"/>
      <c r="I4" s="946"/>
      <c r="J4" s="946"/>
      <c r="K4" s="946"/>
      <c r="L4" s="946"/>
      <c r="M4" s="946"/>
      <c r="N4" s="946"/>
      <c r="O4" s="946"/>
      <c r="P4" s="946"/>
      <c r="Q4" s="946"/>
    </row>
    <row r="5" spans="1:17" ht="23.1" customHeight="1" x14ac:dyDescent="0.35">
      <c r="C5" s="947"/>
      <c r="D5" s="947"/>
      <c r="E5" s="947"/>
      <c r="F5" s="1000" t="s">
        <v>7097</v>
      </c>
      <c r="G5" s="1000"/>
      <c r="H5" s="1000"/>
      <c r="I5" s="1000"/>
      <c r="J5" s="1000"/>
      <c r="K5" s="1000"/>
      <c r="L5" s="1000"/>
      <c r="M5" s="1000"/>
      <c r="N5" s="1000"/>
      <c r="O5" s="947"/>
      <c r="P5" s="947"/>
      <c r="Q5" s="947"/>
    </row>
    <row r="7" spans="1:17" ht="60" x14ac:dyDescent="0.25">
      <c r="B7" s="608" t="s">
        <v>5791</v>
      </c>
      <c r="C7" s="608" t="s">
        <v>5790</v>
      </c>
      <c r="D7" s="608" t="s">
        <v>2367</v>
      </c>
      <c r="E7" s="608" t="s">
        <v>4542</v>
      </c>
      <c r="F7" s="608" t="s">
        <v>5</v>
      </c>
      <c r="G7" s="608" t="s">
        <v>6</v>
      </c>
      <c r="H7" s="608" t="s">
        <v>2368</v>
      </c>
      <c r="I7" s="609" t="s">
        <v>8</v>
      </c>
      <c r="J7" s="610" t="s">
        <v>9</v>
      </c>
      <c r="K7" s="610" t="s">
        <v>10</v>
      </c>
      <c r="L7" s="608" t="s">
        <v>2857</v>
      </c>
      <c r="M7" s="608" t="s">
        <v>12</v>
      </c>
      <c r="N7" s="608" t="s">
        <v>2858</v>
      </c>
      <c r="O7" s="608" t="s">
        <v>14</v>
      </c>
      <c r="P7" s="608" t="s">
        <v>15</v>
      </c>
      <c r="Q7" s="608" t="s">
        <v>16</v>
      </c>
    </row>
    <row r="8" spans="1:17" ht="60" customHeight="1" x14ac:dyDescent="0.25">
      <c r="B8" s="611">
        <v>44664</v>
      </c>
      <c r="C8" s="611">
        <v>44664</v>
      </c>
      <c r="D8" s="612" t="s">
        <v>4543</v>
      </c>
      <c r="E8" s="613" t="s">
        <v>4176</v>
      </c>
      <c r="F8" s="613" t="s">
        <v>4544</v>
      </c>
      <c r="G8" s="613" t="s">
        <v>4545</v>
      </c>
      <c r="H8" s="612" t="s">
        <v>4546</v>
      </c>
      <c r="I8" s="613" t="s">
        <v>4547</v>
      </c>
      <c r="J8" s="614">
        <v>197692</v>
      </c>
      <c r="K8" s="614">
        <v>54.944600000000001</v>
      </c>
      <c r="L8" s="873">
        <f t="shared" ref="L8:L71" si="0">+J8/K8</f>
        <v>3598.0241916403065</v>
      </c>
      <c r="M8" s="612">
        <v>60</v>
      </c>
      <c r="N8" s="615">
        <f t="shared" ref="N8:N71" si="1">+J8/M8</f>
        <v>3294.8666666666668</v>
      </c>
      <c r="O8" s="616">
        <f t="shared" ref="O8:O71" ca="1" si="2">IF(B8&lt;&gt;0,(ROUND((NOW()-B8)/30,0)),0)</f>
        <v>39</v>
      </c>
      <c r="P8" s="873">
        <f t="shared" ref="P8:P71" ca="1" si="3">IF(OR(J8=0,M8=0,O8=0),0,J8-(N8*O8))</f>
        <v>69192.2</v>
      </c>
      <c r="Q8" s="612" t="s">
        <v>4548</v>
      </c>
    </row>
    <row r="9" spans="1:17" ht="60" customHeight="1" x14ac:dyDescent="0.25">
      <c r="B9" s="611">
        <v>44665</v>
      </c>
      <c r="C9" s="611">
        <v>44664</v>
      </c>
      <c r="D9" s="612" t="s">
        <v>4543</v>
      </c>
      <c r="E9" s="613" t="s">
        <v>4177</v>
      </c>
      <c r="F9" s="613" t="s">
        <v>4544</v>
      </c>
      <c r="G9" s="613" t="s">
        <v>4549</v>
      </c>
      <c r="H9" s="612" t="s">
        <v>4546</v>
      </c>
      <c r="I9" s="613" t="s">
        <v>4547</v>
      </c>
      <c r="J9" s="614">
        <v>197692</v>
      </c>
      <c r="K9" s="614">
        <v>54.944600000000001</v>
      </c>
      <c r="L9" s="873">
        <f t="shared" si="0"/>
        <v>3598.0241916403065</v>
      </c>
      <c r="M9" s="612">
        <v>60</v>
      </c>
      <c r="N9" s="615">
        <f t="shared" si="1"/>
        <v>3294.8666666666668</v>
      </c>
      <c r="O9" s="616">
        <f t="shared" ca="1" si="2"/>
        <v>39</v>
      </c>
      <c r="P9" s="873">
        <f t="shared" ca="1" si="3"/>
        <v>69192.2</v>
      </c>
      <c r="Q9" s="612" t="s">
        <v>4548</v>
      </c>
    </row>
    <row r="10" spans="1:17" ht="60" customHeight="1" x14ac:dyDescent="0.25">
      <c r="B10" s="611">
        <v>44666</v>
      </c>
      <c r="C10" s="611">
        <v>44664</v>
      </c>
      <c r="D10" s="612" t="s">
        <v>4543</v>
      </c>
      <c r="E10" s="613" t="s">
        <v>4178</v>
      </c>
      <c r="F10" s="613" t="s">
        <v>4544</v>
      </c>
      <c r="G10" s="613" t="s">
        <v>4550</v>
      </c>
      <c r="H10" s="612" t="s">
        <v>4546</v>
      </c>
      <c r="I10" s="613" t="s">
        <v>4547</v>
      </c>
      <c r="J10" s="614">
        <v>197691.99</v>
      </c>
      <c r="K10" s="614">
        <v>54.944600000000001</v>
      </c>
      <c r="L10" s="873">
        <f t="shared" si="0"/>
        <v>3598.0240096387997</v>
      </c>
      <c r="M10" s="612">
        <v>60</v>
      </c>
      <c r="N10" s="615">
        <f t="shared" si="1"/>
        <v>3294.8664999999996</v>
      </c>
      <c r="O10" s="616">
        <f t="shared" ca="1" si="2"/>
        <v>39</v>
      </c>
      <c r="P10" s="873">
        <f t="shared" ca="1" si="3"/>
        <v>69192.196500000005</v>
      </c>
      <c r="Q10" s="612" t="s">
        <v>4548</v>
      </c>
    </row>
    <row r="11" spans="1:17" ht="120" customHeight="1" x14ac:dyDescent="0.25">
      <c r="B11" s="611">
        <v>44739</v>
      </c>
      <c r="C11" s="611">
        <v>44739</v>
      </c>
      <c r="D11" s="612" t="s">
        <v>4551</v>
      </c>
      <c r="E11" s="613" t="s">
        <v>4552</v>
      </c>
      <c r="F11" s="613" t="s">
        <v>4553</v>
      </c>
      <c r="G11" s="612" t="s">
        <v>18</v>
      </c>
      <c r="H11" s="612" t="s">
        <v>4546</v>
      </c>
      <c r="I11" s="613" t="s">
        <v>4547</v>
      </c>
      <c r="J11" s="614">
        <v>2422581.7999999998</v>
      </c>
      <c r="K11" s="614">
        <v>54.497199999999999</v>
      </c>
      <c r="L11" s="873">
        <f t="shared" si="0"/>
        <v>44453.326042438872</v>
      </c>
      <c r="M11" s="612">
        <v>60</v>
      </c>
      <c r="N11" s="615">
        <f t="shared" si="1"/>
        <v>40376.363333333327</v>
      </c>
      <c r="O11" s="616">
        <f t="shared" ca="1" si="2"/>
        <v>37</v>
      </c>
      <c r="P11" s="873">
        <f t="shared" ca="1" si="3"/>
        <v>928656.35666666669</v>
      </c>
      <c r="Q11" s="612" t="s">
        <v>4554</v>
      </c>
    </row>
    <row r="12" spans="1:17" ht="120" customHeight="1" x14ac:dyDescent="0.25">
      <c r="B12" s="611">
        <v>44742</v>
      </c>
      <c r="C12" s="611">
        <v>44742</v>
      </c>
      <c r="D12" s="612" t="s">
        <v>4555</v>
      </c>
      <c r="E12" s="613" t="s">
        <v>4556</v>
      </c>
      <c r="F12" s="613" t="s">
        <v>4557</v>
      </c>
      <c r="G12" s="613" t="s">
        <v>4558</v>
      </c>
      <c r="H12" s="613" t="s">
        <v>4559</v>
      </c>
      <c r="I12" s="613" t="s">
        <v>4560</v>
      </c>
      <c r="J12" s="614">
        <v>118000</v>
      </c>
      <c r="K12" s="614">
        <v>54.440300000000001</v>
      </c>
      <c r="L12" s="873">
        <f t="shared" si="0"/>
        <v>2167.5119350922018</v>
      </c>
      <c r="M12" s="612">
        <v>60</v>
      </c>
      <c r="N12" s="615">
        <f t="shared" si="1"/>
        <v>1966.6666666666667</v>
      </c>
      <c r="O12" s="616">
        <f t="shared" ca="1" si="2"/>
        <v>37</v>
      </c>
      <c r="P12" s="873">
        <f t="shared" ca="1" si="3"/>
        <v>45233.333333333328</v>
      </c>
      <c r="Q12" s="613" t="s">
        <v>4561</v>
      </c>
    </row>
    <row r="13" spans="1:17" ht="120" customHeight="1" x14ac:dyDescent="0.25">
      <c r="B13" s="611">
        <v>44742</v>
      </c>
      <c r="C13" s="611">
        <v>44742</v>
      </c>
      <c r="D13" s="612" t="s">
        <v>4555</v>
      </c>
      <c r="E13" s="613" t="s">
        <v>4562</v>
      </c>
      <c r="F13" s="613" t="s">
        <v>4557</v>
      </c>
      <c r="G13" s="613" t="s">
        <v>4563</v>
      </c>
      <c r="H13" s="613" t="s">
        <v>4559</v>
      </c>
      <c r="I13" s="613" t="s">
        <v>4560</v>
      </c>
      <c r="J13" s="614">
        <v>118000</v>
      </c>
      <c r="K13" s="614">
        <v>54.440300000000001</v>
      </c>
      <c r="L13" s="873">
        <f t="shared" si="0"/>
        <v>2167.5119350922018</v>
      </c>
      <c r="M13" s="612">
        <v>60</v>
      </c>
      <c r="N13" s="615">
        <f t="shared" si="1"/>
        <v>1966.6666666666667</v>
      </c>
      <c r="O13" s="616">
        <f t="shared" ca="1" si="2"/>
        <v>37</v>
      </c>
      <c r="P13" s="873">
        <f t="shared" ca="1" si="3"/>
        <v>45233.333333333328</v>
      </c>
      <c r="Q13" s="613" t="s">
        <v>4561</v>
      </c>
    </row>
    <row r="14" spans="1:17" ht="120" customHeight="1" x14ac:dyDescent="0.25">
      <c r="B14" s="611">
        <v>44742</v>
      </c>
      <c r="C14" s="611">
        <v>44742</v>
      </c>
      <c r="D14" s="612" t="s">
        <v>4555</v>
      </c>
      <c r="E14" s="613" t="s">
        <v>4564</v>
      </c>
      <c r="F14" s="613" t="s">
        <v>4557</v>
      </c>
      <c r="G14" s="613" t="s">
        <v>4565</v>
      </c>
      <c r="H14" s="613" t="s">
        <v>4559</v>
      </c>
      <c r="I14" s="613" t="s">
        <v>4560</v>
      </c>
      <c r="J14" s="614">
        <v>118000</v>
      </c>
      <c r="K14" s="614">
        <v>54.440300000000001</v>
      </c>
      <c r="L14" s="873">
        <f t="shared" si="0"/>
        <v>2167.5119350922018</v>
      </c>
      <c r="M14" s="612">
        <v>60</v>
      </c>
      <c r="N14" s="615">
        <f t="shared" si="1"/>
        <v>1966.6666666666667</v>
      </c>
      <c r="O14" s="616">
        <f t="shared" ca="1" si="2"/>
        <v>37</v>
      </c>
      <c r="P14" s="873">
        <f t="shared" ca="1" si="3"/>
        <v>45233.333333333328</v>
      </c>
      <c r="Q14" s="613" t="s">
        <v>4561</v>
      </c>
    </row>
    <row r="15" spans="1:17" ht="60" customHeight="1" x14ac:dyDescent="0.25">
      <c r="B15" s="611">
        <v>44797</v>
      </c>
      <c r="C15" s="611">
        <v>44797</v>
      </c>
      <c r="D15" s="612" t="s">
        <v>4566</v>
      </c>
      <c r="E15" s="613" t="s">
        <v>4567</v>
      </c>
      <c r="F15" s="613" t="s">
        <v>4568</v>
      </c>
      <c r="G15" s="612" t="s">
        <v>18</v>
      </c>
      <c r="H15" s="613" t="s">
        <v>6019</v>
      </c>
      <c r="I15" s="613" t="s">
        <v>4569</v>
      </c>
      <c r="J15" s="614">
        <v>5102.0129999999999</v>
      </c>
      <c r="K15" s="614">
        <v>53.31</v>
      </c>
      <c r="L15" s="873">
        <f t="shared" si="0"/>
        <v>95.704614518851997</v>
      </c>
      <c r="M15" s="612">
        <v>48</v>
      </c>
      <c r="N15" s="615">
        <f t="shared" si="1"/>
        <v>106.2919375</v>
      </c>
      <c r="O15" s="616">
        <f t="shared" ca="1" si="2"/>
        <v>35</v>
      </c>
      <c r="P15" s="873">
        <f t="shared" ca="1" si="3"/>
        <v>1381.7951874999999</v>
      </c>
      <c r="Q15" s="612" t="s">
        <v>4570</v>
      </c>
    </row>
    <row r="16" spans="1:17" ht="60" customHeight="1" x14ac:dyDescent="0.25">
      <c r="B16" s="611">
        <v>44797</v>
      </c>
      <c r="C16" s="611">
        <v>44797</v>
      </c>
      <c r="D16" s="612" t="s">
        <v>4566</v>
      </c>
      <c r="E16" s="613" t="s">
        <v>4571</v>
      </c>
      <c r="F16" s="613" t="s">
        <v>4568</v>
      </c>
      <c r="G16" s="612" t="s">
        <v>18</v>
      </c>
      <c r="H16" s="613" t="s">
        <v>6019</v>
      </c>
      <c r="I16" s="613" t="s">
        <v>4569</v>
      </c>
      <c r="J16" s="614">
        <v>5102.0129999999999</v>
      </c>
      <c r="K16" s="614">
        <v>53.31</v>
      </c>
      <c r="L16" s="873">
        <f t="shared" si="0"/>
        <v>95.704614518851997</v>
      </c>
      <c r="M16" s="612">
        <v>48</v>
      </c>
      <c r="N16" s="615">
        <f t="shared" si="1"/>
        <v>106.2919375</v>
      </c>
      <c r="O16" s="616">
        <f t="shared" ca="1" si="2"/>
        <v>35</v>
      </c>
      <c r="P16" s="873">
        <f t="shared" ca="1" si="3"/>
        <v>1381.7951874999999</v>
      </c>
      <c r="Q16" s="612" t="s">
        <v>4570</v>
      </c>
    </row>
    <row r="17" spans="2:17" ht="60" customHeight="1" x14ac:dyDescent="0.25">
      <c r="B17" s="611">
        <v>44797</v>
      </c>
      <c r="C17" s="611">
        <v>44797</v>
      </c>
      <c r="D17" s="612" t="s">
        <v>4566</v>
      </c>
      <c r="E17" s="613" t="s">
        <v>4572</v>
      </c>
      <c r="F17" s="613" t="s">
        <v>4568</v>
      </c>
      <c r="G17" s="612" t="s">
        <v>18</v>
      </c>
      <c r="H17" s="613" t="s">
        <v>6019</v>
      </c>
      <c r="I17" s="613" t="s">
        <v>4569</v>
      </c>
      <c r="J17" s="614">
        <v>5102.0129999999999</v>
      </c>
      <c r="K17" s="614">
        <v>53.31</v>
      </c>
      <c r="L17" s="873">
        <f t="shared" si="0"/>
        <v>95.704614518851997</v>
      </c>
      <c r="M17" s="612">
        <v>48</v>
      </c>
      <c r="N17" s="615">
        <f t="shared" si="1"/>
        <v>106.2919375</v>
      </c>
      <c r="O17" s="616">
        <f t="shared" ca="1" si="2"/>
        <v>35</v>
      </c>
      <c r="P17" s="873">
        <f t="shared" ca="1" si="3"/>
        <v>1381.7951874999999</v>
      </c>
      <c r="Q17" s="612" t="s">
        <v>4570</v>
      </c>
    </row>
    <row r="18" spans="2:17" ht="60" customHeight="1" x14ac:dyDescent="0.25">
      <c r="B18" s="611">
        <v>44797</v>
      </c>
      <c r="C18" s="611">
        <v>44797</v>
      </c>
      <c r="D18" s="612" t="s">
        <v>4566</v>
      </c>
      <c r="E18" s="613" t="s">
        <v>4573</v>
      </c>
      <c r="F18" s="613" t="s">
        <v>4568</v>
      </c>
      <c r="G18" s="612" t="s">
        <v>18</v>
      </c>
      <c r="H18" s="613" t="s">
        <v>6019</v>
      </c>
      <c r="I18" s="613" t="s">
        <v>4569</v>
      </c>
      <c r="J18" s="614">
        <v>5102.0129999999999</v>
      </c>
      <c r="K18" s="614">
        <v>53.31</v>
      </c>
      <c r="L18" s="873">
        <f t="shared" si="0"/>
        <v>95.704614518851997</v>
      </c>
      <c r="M18" s="612">
        <v>48</v>
      </c>
      <c r="N18" s="615">
        <f t="shared" si="1"/>
        <v>106.2919375</v>
      </c>
      <c r="O18" s="616">
        <f t="shared" ca="1" si="2"/>
        <v>35</v>
      </c>
      <c r="P18" s="873">
        <f t="shared" ca="1" si="3"/>
        <v>1381.7951874999999</v>
      </c>
      <c r="Q18" s="612" t="s">
        <v>4570</v>
      </c>
    </row>
    <row r="19" spans="2:17" ht="60" customHeight="1" x14ac:dyDescent="0.25">
      <c r="B19" s="611">
        <v>44797</v>
      </c>
      <c r="C19" s="611">
        <v>44797</v>
      </c>
      <c r="D19" s="612" t="s">
        <v>4566</v>
      </c>
      <c r="E19" s="613" t="s">
        <v>4574</v>
      </c>
      <c r="F19" s="613" t="s">
        <v>4568</v>
      </c>
      <c r="G19" s="612" t="s">
        <v>18</v>
      </c>
      <c r="H19" s="613" t="s">
        <v>6019</v>
      </c>
      <c r="I19" s="613" t="s">
        <v>4569</v>
      </c>
      <c r="J19" s="614">
        <v>5102.0129999999999</v>
      </c>
      <c r="K19" s="614">
        <v>53.31</v>
      </c>
      <c r="L19" s="873">
        <f t="shared" si="0"/>
        <v>95.704614518851997</v>
      </c>
      <c r="M19" s="612">
        <v>48</v>
      </c>
      <c r="N19" s="615">
        <f t="shared" si="1"/>
        <v>106.2919375</v>
      </c>
      <c r="O19" s="616">
        <f t="shared" ca="1" si="2"/>
        <v>35</v>
      </c>
      <c r="P19" s="873">
        <f t="shared" ca="1" si="3"/>
        <v>1381.7951874999999</v>
      </c>
      <c r="Q19" s="612" t="s">
        <v>4570</v>
      </c>
    </row>
    <row r="20" spans="2:17" ht="60" customHeight="1" x14ac:dyDescent="0.25">
      <c r="B20" s="611">
        <v>44797</v>
      </c>
      <c r="C20" s="611">
        <v>44797</v>
      </c>
      <c r="D20" s="612" t="s">
        <v>4566</v>
      </c>
      <c r="E20" s="613" t="s">
        <v>4575</v>
      </c>
      <c r="F20" s="613" t="s">
        <v>4568</v>
      </c>
      <c r="G20" s="612" t="s">
        <v>18</v>
      </c>
      <c r="H20" s="613" t="s">
        <v>6019</v>
      </c>
      <c r="I20" s="613" t="s">
        <v>4569</v>
      </c>
      <c r="J20" s="614">
        <v>5102.0129999999999</v>
      </c>
      <c r="K20" s="614">
        <v>53.31</v>
      </c>
      <c r="L20" s="873">
        <f t="shared" si="0"/>
        <v>95.704614518851997</v>
      </c>
      <c r="M20" s="612">
        <v>48</v>
      </c>
      <c r="N20" s="615">
        <f t="shared" si="1"/>
        <v>106.2919375</v>
      </c>
      <c r="O20" s="616">
        <f t="shared" ca="1" si="2"/>
        <v>35</v>
      </c>
      <c r="P20" s="873">
        <f t="shared" ca="1" si="3"/>
        <v>1381.7951874999999</v>
      </c>
      <c r="Q20" s="612" t="s">
        <v>4570</v>
      </c>
    </row>
    <row r="21" spans="2:17" ht="60" customHeight="1" x14ac:dyDescent="0.25">
      <c r="B21" s="611">
        <v>44797</v>
      </c>
      <c r="C21" s="611">
        <v>44797</v>
      </c>
      <c r="D21" s="612" t="s">
        <v>4566</v>
      </c>
      <c r="E21" s="613" t="s">
        <v>4576</v>
      </c>
      <c r="F21" s="613" t="s">
        <v>4568</v>
      </c>
      <c r="G21" s="612" t="s">
        <v>18</v>
      </c>
      <c r="H21" s="613" t="s">
        <v>6019</v>
      </c>
      <c r="I21" s="613" t="s">
        <v>4569</v>
      </c>
      <c r="J21" s="614">
        <v>5102.0129999999999</v>
      </c>
      <c r="K21" s="614">
        <v>53.31</v>
      </c>
      <c r="L21" s="873">
        <f t="shared" si="0"/>
        <v>95.704614518851997</v>
      </c>
      <c r="M21" s="612">
        <v>48</v>
      </c>
      <c r="N21" s="615">
        <f t="shared" si="1"/>
        <v>106.2919375</v>
      </c>
      <c r="O21" s="616">
        <f t="shared" ca="1" si="2"/>
        <v>35</v>
      </c>
      <c r="P21" s="873">
        <f t="shared" ca="1" si="3"/>
        <v>1381.7951874999999</v>
      </c>
      <c r="Q21" s="612" t="s">
        <v>4570</v>
      </c>
    </row>
    <row r="22" spans="2:17" ht="60" customHeight="1" x14ac:dyDescent="0.25">
      <c r="B22" s="611">
        <v>44797</v>
      </c>
      <c r="C22" s="611">
        <v>44797</v>
      </c>
      <c r="D22" s="612" t="s">
        <v>4566</v>
      </c>
      <c r="E22" s="613" t="s">
        <v>4577</v>
      </c>
      <c r="F22" s="613" t="s">
        <v>4568</v>
      </c>
      <c r="G22" s="612" t="s">
        <v>18</v>
      </c>
      <c r="H22" s="613" t="s">
        <v>6019</v>
      </c>
      <c r="I22" s="613" t="s">
        <v>4569</v>
      </c>
      <c r="J22" s="614">
        <v>5102.0129999999999</v>
      </c>
      <c r="K22" s="614">
        <v>53.31</v>
      </c>
      <c r="L22" s="873">
        <f t="shared" si="0"/>
        <v>95.704614518851997</v>
      </c>
      <c r="M22" s="612">
        <v>48</v>
      </c>
      <c r="N22" s="615">
        <f t="shared" si="1"/>
        <v>106.2919375</v>
      </c>
      <c r="O22" s="616">
        <f t="shared" ca="1" si="2"/>
        <v>35</v>
      </c>
      <c r="P22" s="873">
        <f t="shared" ca="1" si="3"/>
        <v>1381.7951874999999</v>
      </c>
      <c r="Q22" s="612" t="s">
        <v>4570</v>
      </c>
    </row>
    <row r="23" spans="2:17" ht="60" customHeight="1" x14ac:dyDescent="0.25">
      <c r="B23" s="611">
        <v>44797</v>
      </c>
      <c r="C23" s="611">
        <v>44797</v>
      </c>
      <c r="D23" s="612" t="s">
        <v>4566</v>
      </c>
      <c r="E23" s="613" t="s">
        <v>4578</v>
      </c>
      <c r="F23" s="613" t="s">
        <v>4568</v>
      </c>
      <c r="G23" s="612" t="s">
        <v>18</v>
      </c>
      <c r="H23" s="613" t="s">
        <v>6019</v>
      </c>
      <c r="I23" s="613" t="s">
        <v>4569</v>
      </c>
      <c r="J23" s="614">
        <v>5102.0129999999999</v>
      </c>
      <c r="K23" s="614">
        <v>53.31</v>
      </c>
      <c r="L23" s="873">
        <f t="shared" si="0"/>
        <v>95.704614518851997</v>
      </c>
      <c r="M23" s="612">
        <v>48</v>
      </c>
      <c r="N23" s="615">
        <f t="shared" si="1"/>
        <v>106.2919375</v>
      </c>
      <c r="O23" s="616">
        <f t="shared" ca="1" si="2"/>
        <v>35</v>
      </c>
      <c r="P23" s="873">
        <f t="shared" ca="1" si="3"/>
        <v>1381.7951874999999</v>
      </c>
      <c r="Q23" s="612" t="s">
        <v>4570</v>
      </c>
    </row>
    <row r="24" spans="2:17" ht="60" customHeight="1" x14ac:dyDescent="0.25">
      <c r="B24" s="611">
        <v>44797</v>
      </c>
      <c r="C24" s="611">
        <v>44797</v>
      </c>
      <c r="D24" s="612" t="s">
        <v>4566</v>
      </c>
      <c r="E24" s="613" t="s">
        <v>4579</v>
      </c>
      <c r="F24" s="613" t="s">
        <v>4568</v>
      </c>
      <c r="G24" s="612" t="s">
        <v>18</v>
      </c>
      <c r="H24" s="613" t="s">
        <v>6019</v>
      </c>
      <c r="I24" s="613" t="s">
        <v>4569</v>
      </c>
      <c r="J24" s="614">
        <v>5102.0129999999999</v>
      </c>
      <c r="K24" s="614">
        <v>53.31</v>
      </c>
      <c r="L24" s="873">
        <f t="shared" si="0"/>
        <v>95.704614518851997</v>
      </c>
      <c r="M24" s="612">
        <v>48</v>
      </c>
      <c r="N24" s="615">
        <f t="shared" si="1"/>
        <v>106.2919375</v>
      </c>
      <c r="O24" s="616">
        <f t="shared" ca="1" si="2"/>
        <v>35</v>
      </c>
      <c r="P24" s="873">
        <f t="shared" ca="1" si="3"/>
        <v>1381.7951874999999</v>
      </c>
      <c r="Q24" s="612" t="s">
        <v>4570</v>
      </c>
    </row>
    <row r="25" spans="2:17" ht="60" customHeight="1" x14ac:dyDescent="0.25">
      <c r="B25" s="611">
        <v>44797</v>
      </c>
      <c r="C25" s="611">
        <v>44797</v>
      </c>
      <c r="D25" s="612" t="s">
        <v>4566</v>
      </c>
      <c r="E25" s="613" t="s">
        <v>4580</v>
      </c>
      <c r="F25" s="613" t="s">
        <v>4581</v>
      </c>
      <c r="G25" s="612" t="s">
        <v>18</v>
      </c>
      <c r="H25" s="613" t="s">
        <v>6019</v>
      </c>
      <c r="I25" s="613" t="s">
        <v>4569</v>
      </c>
      <c r="J25" s="614">
        <v>5102.0129999999999</v>
      </c>
      <c r="K25" s="614">
        <v>53.31</v>
      </c>
      <c r="L25" s="873">
        <f t="shared" si="0"/>
        <v>95.704614518851997</v>
      </c>
      <c r="M25" s="612">
        <v>48</v>
      </c>
      <c r="N25" s="615">
        <f t="shared" si="1"/>
        <v>106.2919375</v>
      </c>
      <c r="O25" s="616">
        <f t="shared" ca="1" si="2"/>
        <v>35</v>
      </c>
      <c r="P25" s="873">
        <f t="shared" ca="1" si="3"/>
        <v>1381.7951874999999</v>
      </c>
      <c r="Q25" s="612" t="s">
        <v>4570</v>
      </c>
    </row>
    <row r="26" spans="2:17" ht="60" customHeight="1" x14ac:dyDescent="0.25">
      <c r="B26" s="611">
        <v>44797</v>
      </c>
      <c r="C26" s="611">
        <v>44797</v>
      </c>
      <c r="D26" s="612" t="s">
        <v>4566</v>
      </c>
      <c r="E26" s="613" t="s">
        <v>4582</v>
      </c>
      <c r="F26" s="613" t="s">
        <v>4581</v>
      </c>
      <c r="G26" s="612" t="s">
        <v>18</v>
      </c>
      <c r="H26" s="613" t="s">
        <v>6019</v>
      </c>
      <c r="I26" s="613" t="s">
        <v>4569</v>
      </c>
      <c r="J26" s="614">
        <v>5102.0129999999999</v>
      </c>
      <c r="K26" s="614">
        <v>53.31</v>
      </c>
      <c r="L26" s="873">
        <f t="shared" si="0"/>
        <v>95.704614518851997</v>
      </c>
      <c r="M26" s="612">
        <v>48</v>
      </c>
      <c r="N26" s="615">
        <f t="shared" si="1"/>
        <v>106.2919375</v>
      </c>
      <c r="O26" s="616">
        <f t="shared" ca="1" si="2"/>
        <v>35</v>
      </c>
      <c r="P26" s="873">
        <f t="shared" ca="1" si="3"/>
        <v>1381.7951874999999</v>
      </c>
      <c r="Q26" s="612" t="s">
        <v>4570</v>
      </c>
    </row>
    <row r="27" spans="2:17" ht="60" customHeight="1" x14ac:dyDescent="0.25">
      <c r="B27" s="611">
        <v>44797</v>
      </c>
      <c r="C27" s="611">
        <v>44797</v>
      </c>
      <c r="D27" s="612" t="s">
        <v>4566</v>
      </c>
      <c r="E27" s="613" t="s">
        <v>4583</v>
      </c>
      <c r="F27" s="613" t="s">
        <v>4581</v>
      </c>
      <c r="G27" s="612" t="s">
        <v>18</v>
      </c>
      <c r="H27" s="613" t="s">
        <v>6019</v>
      </c>
      <c r="I27" s="613" t="s">
        <v>4569</v>
      </c>
      <c r="J27" s="614">
        <v>5102.0129999999999</v>
      </c>
      <c r="K27" s="614">
        <v>53.31</v>
      </c>
      <c r="L27" s="873">
        <f t="shared" si="0"/>
        <v>95.704614518851997</v>
      </c>
      <c r="M27" s="612">
        <v>48</v>
      </c>
      <c r="N27" s="615">
        <f t="shared" si="1"/>
        <v>106.2919375</v>
      </c>
      <c r="O27" s="616">
        <f t="shared" ca="1" si="2"/>
        <v>35</v>
      </c>
      <c r="P27" s="873">
        <f t="shared" ca="1" si="3"/>
        <v>1381.7951874999999</v>
      </c>
      <c r="Q27" s="612" t="s">
        <v>4570</v>
      </c>
    </row>
    <row r="28" spans="2:17" ht="60" customHeight="1" x14ac:dyDescent="0.25">
      <c r="B28" s="611">
        <v>44797</v>
      </c>
      <c r="C28" s="611">
        <v>44797</v>
      </c>
      <c r="D28" s="612" t="s">
        <v>4566</v>
      </c>
      <c r="E28" s="613" t="s">
        <v>4584</v>
      </c>
      <c r="F28" s="613" t="s">
        <v>4581</v>
      </c>
      <c r="G28" s="612" t="s">
        <v>18</v>
      </c>
      <c r="H28" s="613" t="s">
        <v>6019</v>
      </c>
      <c r="I28" s="613" t="s">
        <v>4569</v>
      </c>
      <c r="J28" s="614">
        <v>5102.0129999999999</v>
      </c>
      <c r="K28" s="614">
        <v>53.31</v>
      </c>
      <c r="L28" s="873">
        <f t="shared" si="0"/>
        <v>95.704614518851997</v>
      </c>
      <c r="M28" s="612">
        <v>48</v>
      </c>
      <c r="N28" s="615">
        <f t="shared" si="1"/>
        <v>106.2919375</v>
      </c>
      <c r="O28" s="616">
        <f t="shared" ca="1" si="2"/>
        <v>35</v>
      </c>
      <c r="P28" s="873">
        <f t="shared" ca="1" si="3"/>
        <v>1381.7951874999999</v>
      </c>
      <c r="Q28" s="612" t="s">
        <v>4570</v>
      </c>
    </row>
    <row r="29" spans="2:17" ht="60" customHeight="1" x14ac:dyDescent="0.25">
      <c r="B29" s="611">
        <v>44797</v>
      </c>
      <c r="C29" s="611">
        <v>44797</v>
      </c>
      <c r="D29" s="612" t="s">
        <v>4566</v>
      </c>
      <c r="E29" s="613" t="s">
        <v>4585</v>
      </c>
      <c r="F29" s="613" t="s">
        <v>4581</v>
      </c>
      <c r="G29" s="612" t="s">
        <v>18</v>
      </c>
      <c r="H29" s="613" t="s">
        <v>6019</v>
      </c>
      <c r="I29" s="613" t="s">
        <v>4569</v>
      </c>
      <c r="J29" s="614">
        <v>5102.0129999999999</v>
      </c>
      <c r="K29" s="614">
        <v>53.31</v>
      </c>
      <c r="L29" s="873">
        <f t="shared" si="0"/>
        <v>95.704614518851997</v>
      </c>
      <c r="M29" s="612">
        <v>48</v>
      </c>
      <c r="N29" s="615">
        <f t="shared" si="1"/>
        <v>106.2919375</v>
      </c>
      <c r="O29" s="616">
        <f t="shared" ca="1" si="2"/>
        <v>35</v>
      </c>
      <c r="P29" s="873">
        <f t="shared" ca="1" si="3"/>
        <v>1381.7951874999999</v>
      </c>
      <c r="Q29" s="612" t="s">
        <v>4570</v>
      </c>
    </row>
    <row r="30" spans="2:17" ht="60" customHeight="1" x14ac:dyDescent="0.25">
      <c r="B30" s="611">
        <v>44797</v>
      </c>
      <c r="C30" s="611">
        <v>44797</v>
      </c>
      <c r="D30" s="612" t="s">
        <v>4566</v>
      </c>
      <c r="E30" s="613" t="s">
        <v>4586</v>
      </c>
      <c r="F30" s="613" t="s">
        <v>4581</v>
      </c>
      <c r="G30" s="612" t="s">
        <v>18</v>
      </c>
      <c r="H30" s="613" t="s">
        <v>6019</v>
      </c>
      <c r="I30" s="613" t="s">
        <v>4569</v>
      </c>
      <c r="J30" s="614">
        <v>5102.0129999999999</v>
      </c>
      <c r="K30" s="614">
        <v>53.31</v>
      </c>
      <c r="L30" s="873">
        <f t="shared" si="0"/>
        <v>95.704614518851997</v>
      </c>
      <c r="M30" s="612">
        <v>48</v>
      </c>
      <c r="N30" s="615">
        <f t="shared" si="1"/>
        <v>106.2919375</v>
      </c>
      <c r="O30" s="616">
        <f t="shared" ca="1" si="2"/>
        <v>35</v>
      </c>
      <c r="P30" s="873">
        <f t="shared" ca="1" si="3"/>
        <v>1381.7951874999999</v>
      </c>
      <c r="Q30" s="612" t="s">
        <v>4570</v>
      </c>
    </row>
    <row r="31" spans="2:17" ht="60" customHeight="1" x14ac:dyDescent="0.25">
      <c r="B31" s="611">
        <v>44797</v>
      </c>
      <c r="C31" s="611">
        <v>44797</v>
      </c>
      <c r="D31" s="612" t="s">
        <v>4566</v>
      </c>
      <c r="E31" s="613" t="s">
        <v>4587</v>
      </c>
      <c r="F31" s="613" t="s">
        <v>4581</v>
      </c>
      <c r="G31" s="612" t="s">
        <v>18</v>
      </c>
      <c r="H31" s="613" t="s">
        <v>6019</v>
      </c>
      <c r="I31" s="613" t="s">
        <v>4569</v>
      </c>
      <c r="J31" s="614">
        <v>5102.0129999999999</v>
      </c>
      <c r="K31" s="614">
        <v>53.31</v>
      </c>
      <c r="L31" s="873">
        <f t="shared" si="0"/>
        <v>95.704614518851997</v>
      </c>
      <c r="M31" s="612">
        <v>48</v>
      </c>
      <c r="N31" s="615">
        <f t="shared" si="1"/>
        <v>106.2919375</v>
      </c>
      <c r="O31" s="616">
        <f t="shared" ca="1" si="2"/>
        <v>35</v>
      </c>
      <c r="P31" s="873">
        <f t="shared" ca="1" si="3"/>
        <v>1381.7951874999999</v>
      </c>
      <c r="Q31" s="612" t="s">
        <v>4570</v>
      </c>
    </row>
    <row r="32" spans="2:17" ht="60" customHeight="1" x14ac:dyDescent="0.25">
      <c r="B32" s="611">
        <v>44797</v>
      </c>
      <c r="C32" s="611">
        <v>44797</v>
      </c>
      <c r="D32" s="612" t="s">
        <v>4566</v>
      </c>
      <c r="E32" s="613" t="s">
        <v>4588</v>
      </c>
      <c r="F32" s="613" t="s">
        <v>4581</v>
      </c>
      <c r="G32" s="612" t="s">
        <v>18</v>
      </c>
      <c r="H32" s="613" t="s">
        <v>6019</v>
      </c>
      <c r="I32" s="613" t="s">
        <v>4569</v>
      </c>
      <c r="J32" s="614">
        <v>5102.0129999999999</v>
      </c>
      <c r="K32" s="614">
        <v>53.31</v>
      </c>
      <c r="L32" s="873">
        <f t="shared" si="0"/>
        <v>95.704614518851997</v>
      </c>
      <c r="M32" s="612">
        <v>48</v>
      </c>
      <c r="N32" s="615">
        <f t="shared" si="1"/>
        <v>106.2919375</v>
      </c>
      <c r="O32" s="616">
        <f t="shared" ca="1" si="2"/>
        <v>35</v>
      </c>
      <c r="P32" s="873">
        <f t="shared" ca="1" si="3"/>
        <v>1381.7951874999999</v>
      </c>
      <c r="Q32" s="612" t="s">
        <v>4570</v>
      </c>
    </row>
    <row r="33" spans="2:17" ht="60" customHeight="1" x14ac:dyDescent="0.25">
      <c r="B33" s="611">
        <v>44797</v>
      </c>
      <c r="C33" s="611">
        <v>44797</v>
      </c>
      <c r="D33" s="612" t="s">
        <v>4566</v>
      </c>
      <c r="E33" s="613" t="s">
        <v>4589</v>
      </c>
      <c r="F33" s="613" t="s">
        <v>4581</v>
      </c>
      <c r="G33" s="612" t="s">
        <v>18</v>
      </c>
      <c r="H33" s="613" t="s">
        <v>6019</v>
      </c>
      <c r="I33" s="613" t="s">
        <v>4569</v>
      </c>
      <c r="J33" s="614">
        <v>5102.0129999999999</v>
      </c>
      <c r="K33" s="614">
        <v>53.31</v>
      </c>
      <c r="L33" s="873">
        <f t="shared" si="0"/>
        <v>95.704614518851997</v>
      </c>
      <c r="M33" s="612">
        <v>48</v>
      </c>
      <c r="N33" s="615">
        <f t="shared" si="1"/>
        <v>106.2919375</v>
      </c>
      <c r="O33" s="616">
        <f t="shared" ca="1" si="2"/>
        <v>35</v>
      </c>
      <c r="P33" s="873">
        <f t="shared" ca="1" si="3"/>
        <v>1381.7951874999999</v>
      </c>
      <c r="Q33" s="612" t="s">
        <v>4570</v>
      </c>
    </row>
    <row r="34" spans="2:17" ht="60" customHeight="1" x14ac:dyDescent="0.25">
      <c r="B34" s="611">
        <v>44797</v>
      </c>
      <c r="C34" s="611">
        <v>44797</v>
      </c>
      <c r="D34" s="612" t="s">
        <v>4566</v>
      </c>
      <c r="E34" s="613" t="s">
        <v>4590</v>
      </c>
      <c r="F34" s="613" t="s">
        <v>4581</v>
      </c>
      <c r="G34" s="612" t="s">
        <v>18</v>
      </c>
      <c r="H34" s="613" t="s">
        <v>6019</v>
      </c>
      <c r="I34" s="613" t="s">
        <v>4569</v>
      </c>
      <c r="J34" s="614">
        <v>5102.0129999999999</v>
      </c>
      <c r="K34" s="614">
        <v>53.31</v>
      </c>
      <c r="L34" s="873">
        <f t="shared" si="0"/>
        <v>95.704614518851997</v>
      </c>
      <c r="M34" s="612">
        <v>48</v>
      </c>
      <c r="N34" s="615">
        <f t="shared" si="1"/>
        <v>106.2919375</v>
      </c>
      <c r="O34" s="616">
        <f t="shared" ca="1" si="2"/>
        <v>35</v>
      </c>
      <c r="P34" s="873">
        <f t="shared" ca="1" si="3"/>
        <v>1381.7951874999999</v>
      </c>
      <c r="Q34" s="612" t="s">
        <v>4570</v>
      </c>
    </row>
    <row r="35" spans="2:17" ht="60" customHeight="1" x14ac:dyDescent="0.25">
      <c r="B35" s="611">
        <v>44797</v>
      </c>
      <c r="C35" s="611">
        <v>44797</v>
      </c>
      <c r="D35" s="612" t="s">
        <v>4566</v>
      </c>
      <c r="E35" s="613" t="s">
        <v>4591</v>
      </c>
      <c r="F35" s="613" t="s">
        <v>4592</v>
      </c>
      <c r="G35" s="612" t="s">
        <v>18</v>
      </c>
      <c r="H35" s="613" t="s">
        <v>6019</v>
      </c>
      <c r="I35" s="613" t="s">
        <v>4569</v>
      </c>
      <c r="J35" s="614">
        <v>5102.0129999999999</v>
      </c>
      <c r="K35" s="614">
        <v>53.31</v>
      </c>
      <c r="L35" s="873">
        <f t="shared" si="0"/>
        <v>95.704614518851997</v>
      </c>
      <c r="M35" s="612">
        <v>48</v>
      </c>
      <c r="N35" s="615">
        <f t="shared" si="1"/>
        <v>106.2919375</v>
      </c>
      <c r="O35" s="616">
        <f t="shared" ca="1" si="2"/>
        <v>35</v>
      </c>
      <c r="P35" s="873">
        <f t="shared" ca="1" si="3"/>
        <v>1381.7951874999999</v>
      </c>
      <c r="Q35" s="612" t="s">
        <v>4570</v>
      </c>
    </row>
    <row r="36" spans="2:17" ht="60" customHeight="1" x14ac:dyDescent="0.25">
      <c r="B36" s="611">
        <v>44797</v>
      </c>
      <c r="C36" s="611">
        <v>44797</v>
      </c>
      <c r="D36" s="612" t="s">
        <v>4566</v>
      </c>
      <c r="E36" s="613" t="s">
        <v>4593</v>
      </c>
      <c r="F36" s="613" t="s">
        <v>4592</v>
      </c>
      <c r="G36" s="612" t="s">
        <v>18</v>
      </c>
      <c r="H36" s="613" t="s">
        <v>6019</v>
      </c>
      <c r="I36" s="613" t="s">
        <v>4569</v>
      </c>
      <c r="J36" s="614">
        <v>5102.0129999999999</v>
      </c>
      <c r="K36" s="614">
        <v>53.31</v>
      </c>
      <c r="L36" s="873">
        <f t="shared" si="0"/>
        <v>95.704614518851997</v>
      </c>
      <c r="M36" s="612">
        <v>48</v>
      </c>
      <c r="N36" s="615">
        <f t="shared" si="1"/>
        <v>106.2919375</v>
      </c>
      <c r="O36" s="616">
        <f t="shared" ca="1" si="2"/>
        <v>35</v>
      </c>
      <c r="P36" s="873">
        <f t="shared" ca="1" si="3"/>
        <v>1381.7951874999999</v>
      </c>
      <c r="Q36" s="612" t="s">
        <v>4570</v>
      </c>
    </row>
    <row r="37" spans="2:17" ht="60" customHeight="1" x14ac:dyDescent="0.25">
      <c r="B37" s="611">
        <v>44797</v>
      </c>
      <c r="C37" s="611">
        <v>44797</v>
      </c>
      <c r="D37" s="612" t="s">
        <v>4566</v>
      </c>
      <c r="E37" s="613" t="s">
        <v>4594</v>
      </c>
      <c r="F37" s="613" t="s">
        <v>4592</v>
      </c>
      <c r="G37" s="612" t="s">
        <v>18</v>
      </c>
      <c r="H37" s="613" t="s">
        <v>6019</v>
      </c>
      <c r="I37" s="613" t="s">
        <v>4569</v>
      </c>
      <c r="J37" s="614">
        <v>5102.0129999999999</v>
      </c>
      <c r="K37" s="614">
        <v>53.31</v>
      </c>
      <c r="L37" s="873">
        <f t="shared" si="0"/>
        <v>95.704614518851997</v>
      </c>
      <c r="M37" s="612">
        <v>48</v>
      </c>
      <c r="N37" s="615">
        <f t="shared" si="1"/>
        <v>106.2919375</v>
      </c>
      <c r="O37" s="616">
        <f t="shared" ca="1" si="2"/>
        <v>35</v>
      </c>
      <c r="P37" s="873">
        <f t="shared" ca="1" si="3"/>
        <v>1381.7951874999999</v>
      </c>
      <c r="Q37" s="612" t="s">
        <v>4570</v>
      </c>
    </row>
    <row r="38" spans="2:17" ht="60" customHeight="1" x14ac:dyDescent="0.25">
      <c r="B38" s="611">
        <v>44797</v>
      </c>
      <c r="C38" s="611">
        <v>44797</v>
      </c>
      <c r="D38" s="612" t="s">
        <v>4566</v>
      </c>
      <c r="E38" s="613" t="s">
        <v>4595</v>
      </c>
      <c r="F38" s="613" t="s">
        <v>4592</v>
      </c>
      <c r="G38" s="612" t="s">
        <v>18</v>
      </c>
      <c r="H38" s="613" t="s">
        <v>6019</v>
      </c>
      <c r="I38" s="613" t="s">
        <v>4569</v>
      </c>
      <c r="J38" s="614">
        <v>5102.0129999999999</v>
      </c>
      <c r="K38" s="614">
        <v>53.31</v>
      </c>
      <c r="L38" s="873">
        <f t="shared" si="0"/>
        <v>95.704614518851997</v>
      </c>
      <c r="M38" s="612">
        <v>48</v>
      </c>
      <c r="N38" s="615">
        <f t="shared" si="1"/>
        <v>106.2919375</v>
      </c>
      <c r="O38" s="616">
        <f t="shared" ca="1" si="2"/>
        <v>35</v>
      </c>
      <c r="P38" s="873">
        <f t="shared" ca="1" si="3"/>
        <v>1381.7951874999999</v>
      </c>
      <c r="Q38" s="612" t="s">
        <v>4570</v>
      </c>
    </row>
    <row r="39" spans="2:17" ht="60" customHeight="1" x14ac:dyDescent="0.25">
      <c r="B39" s="611">
        <v>44797</v>
      </c>
      <c r="C39" s="611">
        <v>44797</v>
      </c>
      <c r="D39" s="612" t="s">
        <v>4566</v>
      </c>
      <c r="E39" s="613" t="s">
        <v>4596</v>
      </c>
      <c r="F39" s="613" t="s">
        <v>4592</v>
      </c>
      <c r="G39" s="612" t="s">
        <v>18</v>
      </c>
      <c r="H39" s="613" t="s">
        <v>6019</v>
      </c>
      <c r="I39" s="613" t="s">
        <v>4569</v>
      </c>
      <c r="J39" s="614">
        <v>5102.0129999999999</v>
      </c>
      <c r="K39" s="614">
        <v>53.31</v>
      </c>
      <c r="L39" s="873">
        <f t="shared" si="0"/>
        <v>95.704614518851997</v>
      </c>
      <c r="M39" s="612">
        <v>48</v>
      </c>
      <c r="N39" s="615">
        <f t="shared" si="1"/>
        <v>106.2919375</v>
      </c>
      <c r="O39" s="616">
        <f t="shared" ca="1" si="2"/>
        <v>35</v>
      </c>
      <c r="P39" s="873">
        <f t="shared" ca="1" si="3"/>
        <v>1381.7951874999999</v>
      </c>
      <c r="Q39" s="612" t="s">
        <v>4570</v>
      </c>
    </row>
    <row r="40" spans="2:17" ht="60" customHeight="1" x14ac:dyDescent="0.25">
      <c r="B40" s="611">
        <v>44797</v>
      </c>
      <c r="C40" s="611">
        <v>44797</v>
      </c>
      <c r="D40" s="612" t="s">
        <v>4566</v>
      </c>
      <c r="E40" s="613" t="s">
        <v>4597</v>
      </c>
      <c r="F40" s="613" t="s">
        <v>4592</v>
      </c>
      <c r="G40" s="612" t="s">
        <v>18</v>
      </c>
      <c r="H40" s="613" t="s">
        <v>6019</v>
      </c>
      <c r="I40" s="613" t="s">
        <v>4569</v>
      </c>
      <c r="J40" s="614">
        <v>5102.0129999999999</v>
      </c>
      <c r="K40" s="614">
        <v>53.31</v>
      </c>
      <c r="L40" s="873">
        <f t="shared" si="0"/>
        <v>95.704614518851997</v>
      </c>
      <c r="M40" s="612">
        <v>48</v>
      </c>
      <c r="N40" s="615">
        <f t="shared" si="1"/>
        <v>106.2919375</v>
      </c>
      <c r="O40" s="616">
        <f t="shared" ca="1" si="2"/>
        <v>35</v>
      </c>
      <c r="P40" s="873">
        <f t="shared" ca="1" si="3"/>
        <v>1381.7951874999999</v>
      </c>
      <c r="Q40" s="612" t="s">
        <v>4570</v>
      </c>
    </row>
    <row r="41" spans="2:17" ht="60" customHeight="1" x14ac:dyDescent="0.25">
      <c r="B41" s="611">
        <v>44797</v>
      </c>
      <c r="C41" s="611">
        <v>44797</v>
      </c>
      <c r="D41" s="612" t="s">
        <v>4566</v>
      </c>
      <c r="E41" s="613" t="s">
        <v>4598</v>
      </c>
      <c r="F41" s="613" t="s">
        <v>4592</v>
      </c>
      <c r="G41" s="612" t="s">
        <v>18</v>
      </c>
      <c r="H41" s="613" t="s">
        <v>6019</v>
      </c>
      <c r="I41" s="613" t="s">
        <v>4569</v>
      </c>
      <c r="J41" s="614">
        <v>5102.0129999999999</v>
      </c>
      <c r="K41" s="614">
        <v>53.31</v>
      </c>
      <c r="L41" s="873">
        <f t="shared" si="0"/>
        <v>95.704614518851997</v>
      </c>
      <c r="M41" s="612">
        <v>48</v>
      </c>
      <c r="N41" s="615">
        <f t="shared" si="1"/>
        <v>106.2919375</v>
      </c>
      <c r="O41" s="616">
        <f t="shared" ca="1" si="2"/>
        <v>35</v>
      </c>
      <c r="P41" s="873">
        <f t="shared" ca="1" si="3"/>
        <v>1381.7951874999999</v>
      </c>
      <c r="Q41" s="612" t="s">
        <v>4570</v>
      </c>
    </row>
    <row r="42" spans="2:17" ht="60" customHeight="1" x14ac:dyDescent="0.25">
      <c r="B42" s="611">
        <v>44797</v>
      </c>
      <c r="C42" s="611">
        <v>44797</v>
      </c>
      <c r="D42" s="612" t="s">
        <v>4566</v>
      </c>
      <c r="E42" s="613" t="s">
        <v>4599</v>
      </c>
      <c r="F42" s="613" t="s">
        <v>4592</v>
      </c>
      <c r="G42" s="612" t="s">
        <v>18</v>
      </c>
      <c r="H42" s="613" t="s">
        <v>6019</v>
      </c>
      <c r="I42" s="613" t="s">
        <v>4569</v>
      </c>
      <c r="J42" s="614">
        <v>5102.0129999999999</v>
      </c>
      <c r="K42" s="614">
        <v>53.31</v>
      </c>
      <c r="L42" s="873">
        <f t="shared" si="0"/>
        <v>95.704614518851997</v>
      </c>
      <c r="M42" s="612">
        <v>48</v>
      </c>
      <c r="N42" s="615">
        <f t="shared" si="1"/>
        <v>106.2919375</v>
      </c>
      <c r="O42" s="616">
        <f t="shared" ca="1" si="2"/>
        <v>35</v>
      </c>
      <c r="P42" s="873">
        <f t="shared" ca="1" si="3"/>
        <v>1381.7951874999999</v>
      </c>
      <c r="Q42" s="612" t="s">
        <v>4570</v>
      </c>
    </row>
    <row r="43" spans="2:17" ht="60" customHeight="1" x14ac:dyDescent="0.25">
      <c r="B43" s="611">
        <v>44797</v>
      </c>
      <c r="C43" s="611">
        <v>44797</v>
      </c>
      <c r="D43" s="612" t="s">
        <v>4566</v>
      </c>
      <c r="E43" s="613" t="s">
        <v>4600</v>
      </c>
      <c r="F43" s="613" t="s">
        <v>4592</v>
      </c>
      <c r="G43" s="612" t="s">
        <v>18</v>
      </c>
      <c r="H43" s="613" t="s">
        <v>6019</v>
      </c>
      <c r="I43" s="613" t="s">
        <v>4569</v>
      </c>
      <c r="J43" s="614">
        <v>5102.0129999999999</v>
      </c>
      <c r="K43" s="614">
        <v>53.31</v>
      </c>
      <c r="L43" s="873">
        <f t="shared" si="0"/>
        <v>95.704614518851997</v>
      </c>
      <c r="M43" s="612">
        <v>48</v>
      </c>
      <c r="N43" s="615">
        <f t="shared" si="1"/>
        <v>106.2919375</v>
      </c>
      <c r="O43" s="616">
        <f t="shared" ca="1" si="2"/>
        <v>35</v>
      </c>
      <c r="P43" s="873">
        <f t="shared" ca="1" si="3"/>
        <v>1381.7951874999999</v>
      </c>
      <c r="Q43" s="612" t="s">
        <v>4570</v>
      </c>
    </row>
    <row r="44" spans="2:17" ht="60" customHeight="1" x14ac:dyDescent="0.25">
      <c r="B44" s="611">
        <v>44797</v>
      </c>
      <c r="C44" s="611">
        <v>44797</v>
      </c>
      <c r="D44" s="612" t="s">
        <v>4566</v>
      </c>
      <c r="E44" s="613" t="s">
        <v>4601</v>
      </c>
      <c r="F44" s="613" t="s">
        <v>4592</v>
      </c>
      <c r="G44" s="612" t="s">
        <v>18</v>
      </c>
      <c r="H44" s="613" t="s">
        <v>6019</v>
      </c>
      <c r="I44" s="613" t="s">
        <v>4569</v>
      </c>
      <c r="J44" s="614">
        <v>5102.0129999999999</v>
      </c>
      <c r="K44" s="614">
        <v>53.31</v>
      </c>
      <c r="L44" s="873">
        <f t="shared" si="0"/>
        <v>95.704614518851997</v>
      </c>
      <c r="M44" s="612">
        <v>48</v>
      </c>
      <c r="N44" s="615">
        <f t="shared" si="1"/>
        <v>106.2919375</v>
      </c>
      <c r="O44" s="616">
        <f t="shared" ca="1" si="2"/>
        <v>35</v>
      </c>
      <c r="P44" s="873">
        <f t="shared" ca="1" si="3"/>
        <v>1381.7951874999999</v>
      </c>
      <c r="Q44" s="612" t="s">
        <v>4570</v>
      </c>
    </row>
    <row r="45" spans="2:17" ht="60" customHeight="1" x14ac:dyDescent="0.25">
      <c r="B45" s="611">
        <v>44797</v>
      </c>
      <c r="C45" s="611">
        <v>44797</v>
      </c>
      <c r="D45" s="612" t="s">
        <v>4566</v>
      </c>
      <c r="E45" s="613" t="s">
        <v>4602</v>
      </c>
      <c r="F45" s="613" t="s">
        <v>4603</v>
      </c>
      <c r="G45" s="612" t="s">
        <v>18</v>
      </c>
      <c r="H45" s="613" t="s">
        <v>6019</v>
      </c>
      <c r="I45" s="613" t="s">
        <v>4569</v>
      </c>
      <c r="J45" s="614">
        <v>5102.0129999999999</v>
      </c>
      <c r="K45" s="614">
        <v>53.31</v>
      </c>
      <c r="L45" s="873">
        <f t="shared" si="0"/>
        <v>95.704614518851997</v>
      </c>
      <c r="M45" s="612">
        <v>48</v>
      </c>
      <c r="N45" s="615">
        <f t="shared" si="1"/>
        <v>106.2919375</v>
      </c>
      <c r="O45" s="616">
        <f t="shared" ca="1" si="2"/>
        <v>35</v>
      </c>
      <c r="P45" s="873">
        <f t="shared" ca="1" si="3"/>
        <v>1381.7951874999999</v>
      </c>
      <c r="Q45" s="612" t="s">
        <v>4570</v>
      </c>
    </row>
    <row r="46" spans="2:17" ht="60" customHeight="1" x14ac:dyDescent="0.25">
      <c r="B46" s="611">
        <v>44797</v>
      </c>
      <c r="C46" s="611">
        <v>44797</v>
      </c>
      <c r="D46" s="612" t="s">
        <v>4566</v>
      </c>
      <c r="E46" s="613" t="s">
        <v>4604</v>
      </c>
      <c r="F46" s="613" t="s">
        <v>4603</v>
      </c>
      <c r="G46" s="612" t="s">
        <v>18</v>
      </c>
      <c r="H46" s="613" t="s">
        <v>6019</v>
      </c>
      <c r="I46" s="613" t="s">
        <v>4569</v>
      </c>
      <c r="J46" s="614">
        <v>5102.0129999999999</v>
      </c>
      <c r="K46" s="614">
        <v>53.31</v>
      </c>
      <c r="L46" s="873">
        <f t="shared" si="0"/>
        <v>95.704614518851997</v>
      </c>
      <c r="M46" s="612">
        <v>48</v>
      </c>
      <c r="N46" s="615">
        <f t="shared" si="1"/>
        <v>106.2919375</v>
      </c>
      <c r="O46" s="616">
        <f t="shared" ca="1" si="2"/>
        <v>35</v>
      </c>
      <c r="P46" s="873">
        <f t="shared" ca="1" si="3"/>
        <v>1381.7951874999999</v>
      </c>
      <c r="Q46" s="612" t="s">
        <v>4570</v>
      </c>
    </row>
    <row r="47" spans="2:17" ht="60" customHeight="1" x14ac:dyDescent="0.25">
      <c r="B47" s="611">
        <v>44797</v>
      </c>
      <c r="C47" s="611">
        <v>44797</v>
      </c>
      <c r="D47" s="612" t="s">
        <v>4566</v>
      </c>
      <c r="E47" s="613" t="s">
        <v>4605</v>
      </c>
      <c r="F47" s="613" t="s">
        <v>4603</v>
      </c>
      <c r="G47" s="612" t="s">
        <v>18</v>
      </c>
      <c r="H47" s="613" t="s">
        <v>6019</v>
      </c>
      <c r="I47" s="613" t="s">
        <v>4569</v>
      </c>
      <c r="J47" s="614">
        <v>5102.0129999999999</v>
      </c>
      <c r="K47" s="614">
        <v>53.31</v>
      </c>
      <c r="L47" s="873">
        <f t="shared" si="0"/>
        <v>95.704614518851997</v>
      </c>
      <c r="M47" s="612">
        <v>48</v>
      </c>
      <c r="N47" s="615">
        <f t="shared" si="1"/>
        <v>106.2919375</v>
      </c>
      <c r="O47" s="616">
        <f t="shared" ca="1" si="2"/>
        <v>35</v>
      </c>
      <c r="P47" s="873">
        <f t="shared" ca="1" si="3"/>
        <v>1381.7951874999999</v>
      </c>
      <c r="Q47" s="612" t="s">
        <v>4570</v>
      </c>
    </row>
    <row r="48" spans="2:17" ht="60" customHeight="1" x14ac:dyDescent="0.25">
      <c r="B48" s="611">
        <v>44797</v>
      </c>
      <c r="C48" s="611">
        <v>44797</v>
      </c>
      <c r="D48" s="612" t="s">
        <v>4566</v>
      </c>
      <c r="E48" s="613" t="s">
        <v>4606</v>
      </c>
      <c r="F48" s="613" t="s">
        <v>4603</v>
      </c>
      <c r="G48" s="612" t="s">
        <v>18</v>
      </c>
      <c r="H48" s="613" t="s">
        <v>6019</v>
      </c>
      <c r="I48" s="613" t="s">
        <v>4569</v>
      </c>
      <c r="J48" s="614">
        <v>5102.0129999999999</v>
      </c>
      <c r="K48" s="614">
        <v>53.31</v>
      </c>
      <c r="L48" s="873">
        <f t="shared" si="0"/>
        <v>95.704614518851997</v>
      </c>
      <c r="M48" s="612">
        <v>48</v>
      </c>
      <c r="N48" s="615">
        <f t="shared" si="1"/>
        <v>106.2919375</v>
      </c>
      <c r="O48" s="616">
        <f t="shared" ca="1" si="2"/>
        <v>35</v>
      </c>
      <c r="P48" s="873">
        <f t="shared" ca="1" si="3"/>
        <v>1381.7951874999999</v>
      </c>
      <c r="Q48" s="612" t="s">
        <v>4570</v>
      </c>
    </row>
    <row r="49" spans="2:17" ht="60" customHeight="1" x14ac:dyDescent="0.25">
      <c r="B49" s="611">
        <v>44797</v>
      </c>
      <c r="C49" s="611">
        <v>44797</v>
      </c>
      <c r="D49" s="612" t="s">
        <v>4566</v>
      </c>
      <c r="E49" s="613" t="s">
        <v>4607</v>
      </c>
      <c r="F49" s="613" t="s">
        <v>4603</v>
      </c>
      <c r="G49" s="612" t="s">
        <v>18</v>
      </c>
      <c r="H49" s="613" t="s">
        <v>6019</v>
      </c>
      <c r="I49" s="613" t="s">
        <v>4569</v>
      </c>
      <c r="J49" s="614">
        <v>5102.0129999999999</v>
      </c>
      <c r="K49" s="614">
        <v>53.31</v>
      </c>
      <c r="L49" s="873">
        <f t="shared" si="0"/>
        <v>95.704614518851997</v>
      </c>
      <c r="M49" s="612">
        <v>48</v>
      </c>
      <c r="N49" s="615">
        <f t="shared" si="1"/>
        <v>106.2919375</v>
      </c>
      <c r="O49" s="616">
        <f t="shared" ca="1" si="2"/>
        <v>35</v>
      </c>
      <c r="P49" s="873">
        <f t="shared" ca="1" si="3"/>
        <v>1381.7951874999999</v>
      </c>
      <c r="Q49" s="612" t="s">
        <v>4570</v>
      </c>
    </row>
    <row r="50" spans="2:17" ht="60" customHeight="1" x14ac:dyDescent="0.25">
      <c r="B50" s="611">
        <v>44797</v>
      </c>
      <c r="C50" s="611">
        <v>44797</v>
      </c>
      <c r="D50" s="612" t="s">
        <v>4566</v>
      </c>
      <c r="E50" s="613" t="s">
        <v>4608</v>
      </c>
      <c r="F50" s="613" t="s">
        <v>4603</v>
      </c>
      <c r="G50" s="612" t="s">
        <v>18</v>
      </c>
      <c r="H50" s="613" t="s">
        <v>6019</v>
      </c>
      <c r="I50" s="613" t="s">
        <v>4569</v>
      </c>
      <c r="J50" s="614">
        <v>5102.0129999999999</v>
      </c>
      <c r="K50" s="614">
        <v>53.31</v>
      </c>
      <c r="L50" s="873">
        <f t="shared" si="0"/>
        <v>95.704614518851997</v>
      </c>
      <c r="M50" s="612">
        <v>48</v>
      </c>
      <c r="N50" s="615">
        <f t="shared" si="1"/>
        <v>106.2919375</v>
      </c>
      <c r="O50" s="616">
        <f t="shared" ca="1" si="2"/>
        <v>35</v>
      </c>
      <c r="P50" s="873">
        <f t="shared" ca="1" si="3"/>
        <v>1381.7951874999999</v>
      </c>
      <c r="Q50" s="612" t="s">
        <v>4570</v>
      </c>
    </row>
    <row r="51" spans="2:17" ht="60" customHeight="1" x14ac:dyDescent="0.25">
      <c r="B51" s="611">
        <v>44797</v>
      </c>
      <c r="C51" s="611">
        <v>44797</v>
      </c>
      <c r="D51" s="612" t="s">
        <v>4566</v>
      </c>
      <c r="E51" s="613" t="s">
        <v>4609</v>
      </c>
      <c r="F51" s="613" t="s">
        <v>4603</v>
      </c>
      <c r="G51" s="612" t="s">
        <v>18</v>
      </c>
      <c r="H51" s="613" t="s">
        <v>6019</v>
      </c>
      <c r="I51" s="613" t="s">
        <v>4569</v>
      </c>
      <c r="J51" s="614">
        <v>5102.0129999999999</v>
      </c>
      <c r="K51" s="614">
        <v>53.31</v>
      </c>
      <c r="L51" s="873">
        <f t="shared" si="0"/>
        <v>95.704614518851997</v>
      </c>
      <c r="M51" s="612">
        <v>48</v>
      </c>
      <c r="N51" s="615">
        <f t="shared" si="1"/>
        <v>106.2919375</v>
      </c>
      <c r="O51" s="616">
        <f t="shared" ca="1" si="2"/>
        <v>35</v>
      </c>
      <c r="P51" s="873">
        <f t="shared" ca="1" si="3"/>
        <v>1381.7951874999999</v>
      </c>
      <c r="Q51" s="612" t="s">
        <v>4570</v>
      </c>
    </row>
    <row r="52" spans="2:17" ht="60" customHeight="1" x14ac:dyDescent="0.25">
      <c r="B52" s="611">
        <v>44797</v>
      </c>
      <c r="C52" s="611">
        <v>44797</v>
      </c>
      <c r="D52" s="612" t="s">
        <v>4566</v>
      </c>
      <c r="E52" s="613" t="s">
        <v>4610</v>
      </c>
      <c r="F52" s="613" t="s">
        <v>4603</v>
      </c>
      <c r="G52" s="612" t="s">
        <v>18</v>
      </c>
      <c r="H52" s="613" t="s">
        <v>6019</v>
      </c>
      <c r="I52" s="613" t="s">
        <v>4569</v>
      </c>
      <c r="J52" s="614">
        <v>5102.0129999999999</v>
      </c>
      <c r="K52" s="614">
        <v>53.31</v>
      </c>
      <c r="L52" s="873">
        <f t="shared" si="0"/>
        <v>95.704614518851997</v>
      </c>
      <c r="M52" s="612">
        <v>48</v>
      </c>
      <c r="N52" s="615">
        <f t="shared" si="1"/>
        <v>106.2919375</v>
      </c>
      <c r="O52" s="616">
        <f t="shared" ca="1" si="2"/>
        <v>35</v>
      </c>
      <c r="P52" s="873">
        <f t="shared" ca="1" si="3"/>
        <v>1381.7951874999999</v>
      </c>
      <c r="Q52" s="612" t="s">
        <v>4570</v>
      </c>
    </row>
    <row r="53" spans="2:17" ht="60" customHeight="1" x14ac:dyDescent="0.25">
      <c r="B53" s="611">
        <v>44797</v>
      </c>
      <c r="C53" s="611">
        <v>44797</v>
      </c>
      <c r="D53" s="612" t="s">
        <v>4566</v>
      </c>
      <c r="E53" s="613" t="s">
        <v>4611</v>
      </c>
      <c r="F53" s="613" t="s">
        <v>4603</v>
      </c>
      <c r="G53" s="612" t="s">
        <v>18</v>
      </c>
      <c r="H53" s="613" t="s">
        <v>6019</v>
      </c>
      <c r="I53" s="613" t="s">
        <v>4569</v>
      </c>
      <c r="J53" s="614">
        <v>5102.0129999999999</v>
      </c>
      <c r="K53" s="614">
        <v>53.31</v>
      </c>
      <c r="L53" s="873">
        <f t="shared" si="0"/>
        <v>95.704614518851997</v>
      </c>
      <c r="M53" s="612">
        <v>48</v>
      </c>
      <c r="N53" s="615">
        <f t="shared" si="1"/>
        <v>106.2919375</v>
      </c>
      <c r="O53" s="616">
        <f t="shared" ca="1" si="2"/>
        <v>35</v>
      </c>
      <c r="P53" s="873">
        <f t="shared" ca="1" si="3"/>
        <v>1381.7951874999999</v>
      </c>
      <c r="Q53" s="612" t="s">
        <v>4570</v>
      </c>
    </row>
    <row r="54" spans="2:17" ht="60" customHeight="1" x14ac:dyDescent="0.25">
      <c r="B54" s="611">
        <v>44797</v>
      </c>
      <c r="C54" s="611">
        <v>44797</v>
      </c>
      <c r="D54" s="612" t="s">
        <v>4566</v>
      </c>
      <c r="E54" s="613" t="s">
        <v>4612</v>
      </c>
      <c r="F54" s="613" t="s">
        <v>4603</v>
      </c>
      <c r="G54" s="612" t="s">
        <v>18</v>
      </c>
      <c r="H54" s="613" t="s">
        <v>6019</v>
      </c>
      <c r="I54" s="613" t="s">
        <v>4569</v>
      </c>
      <c r="J54" s="614">
        <v>5102.0129999999999</v>
      </c>
      <c r="K54" s="614">
        <v>53.31</v>
      </c>
      <c r="L54" s="873">
        <f t="shared" si="0"/>
        <v>95.704614518851997</v>
      </c>
      <c r="M54" s="612">
        <v>48</v>
      </c>
      <c r="N54" s="615">
        <f t="shared" si="1"/>
        <v>106.2919375</v>
      </c>
      <c r="O54" s="616">
        <f t="shared" ca="1" si="2"/>
        <v>35</v>
      </c>
      <c r="P54" s="873">
        <f t="shared" ca="1" si="3"/>
        <v>1381.7951874999999</v>
      </c>
      <c r="Q54" s="612" t="s">
        <v>4570</v>
      </c>
    </row>
    <row r="55" spans="2:17" ht="75" customHeight="1" x14ac:dyDescent="0.25">
      <c r="B55" s="611">
        <v>44797</v>
      </c>
      <c r="C55" s="611">
        <v>44797</v>
      </c>
      <c r="D55" s="612" t="s">
        <v>4566</v>
      </c>
      <c r="E55" s="613" t="s">
        <v>4613</v>
      </c>
      <c r="F55" s="613" t="s">
        <v>4614</v>
      </c>
      <c r="G55" s="612" t="s">
        <v>18</v>
      </c>
      <c r="H55" s="613" t="s">
        <v>6019</v>
      </c>
      <c r="I55" s="613" t="s">
        <v>4569</v>
      </c>
      <c r="J55" s="614">
        <v>14980.477999999999</v>
      </c>
      <c r="K55" s="614">
        <v>53.31</v>
      </c>
      <c r="L55" s="873">
        <f t="shared" si="0"/>
        <v>281.00690302007126</v>
      </c>
      <c r="M55" s="612">
        <v>48</v>
      </c>
      <c r="N55" s="615">
        <f t="shared" si="1"/>
        <v>312.09329166666663</v>
      </c>
      <c r="O55" s="616">
        <f t="shared" ca="1" si="2"/>
        <v>35</v>
      </c>
      <c r="P55" s="873">
        <f t="shared" ca="1" si="3"/>
        <v>4057.2127916666668</v>
      </c>
      <c r="Q55" s="612" t="s">
        <v>4570</v>
      </c>
    </row>
    <row r="56" spans="2:17" ht="75" customHeight="1" x14ac:dyDescent="0.25">
      <c r="B56" s="611">
        <v>44797</v>
      </c>
      <c r="C56" s="611">
        <v>44797</v>
      </c>
      <c r="D56" s="612" t="s">
        <v>4566</v>
      </c>
      <c r="E56" s="613" t="s">
        <v>4615</v>
      </c>
      <c r="F56" s="613" t="s">
        <v>4614</v>
      </c>
      <c r="G56" s="612" t="s">
        <v>18</v>
      </c>
      <c r="H56" s="613" t="s">
        <v>6019</v>
      </c>
      <c r="I56" s="613" t="s">
        <v>4569</v>
      </c>
      <c r="J56" s="614">
        <v>14980.477999999999</v>
      </c>
      <c r="K56" s="614">
        <v>53.31</v>
      </c>
      <c r="L56" s="873">
        <f t="shared" si="0"/>
        <v>281.00690302007126</v>
      </c>
      <c r="M56" s="612">
        <v>48</v>
      </c>
      <c r="N56" s="615">
        <f t="shared" si="1"/>
        <v>312.09329166666663</v>
      </c>
      <c r="O56" s="616">
        <f t="shared" ca="1" si="2"/>
        <v>35</v>
      </c>
      <c r="P56" s="873">
        <f t="shared" ca="1" si="3"/>
        <v>4057.2127916666668</v>
      </c>
      <c r="Q56" s="612" t="s">
        <v>4570</v>
      </c>
    </row>
    <row r="57" spans="2:17" ht="75" customHeight="1" x14ac:dyDescent="0.25">
      <c r="B57" s="611">
        <v>44797</v>
      </c>
      <c r="C57" s="611">
        <v>44797</v>
      </c>
      <c r="D57" s="612" t="s">
        <v>4566</v>
      </c>
      <c r="E57" s="613" t="s">
        <v>4616</v>
      </c>
      <c r="F57" s="613" t="s">
        <v>4614</v>
      </c>
      <c r="G57" s="612" t="s">
        <v>18</v>
      </c>
      <c r="H57" s="613" t="s">
        <v>6019</v>
      </c>
      <c r="I57" s="613" t="s">
        <v>4569</v>
      </c>
      <c r="J57" s="614">
        <v>14980.477999999999</v>
      </c>
      <c r="K57" s="614">
        <v>53.31</v>
      </c>
      <c r="L57" s="873">
        <f t="shared" si="0"/>
        <v>281.00690302007126</v>
      </c>
      <c r="M57" s="612">
        <v>48</v>
      </c>
      <c r="N57" s="615">
        <f t="shared" si="1"/>
        <v>312.09329166666663</v>
      </c>
      <c r="O57" s="616">
        <f t="shared" ca="1" si="2"/>
        <v>35</v>
      </c>
      <c r="P57" s="873">
        <f t="shared" ca="1" si="3"/>
        <v>4057.2127916666668</v>
      </c>
      <c r="Q57" s="612" t="s">
        <v>4570</v>
      </c>
    </row>
    <row r="58" spans="2:17" ht="75" customHeight="1" x14ac:dyDescent="0.25">
      <c r="B58" s="611">
        <v>44797</v>
      </c>
      <c r="C58" s="611">
        <v>44797</v>
      </c>
      <c r="D58" s="612" t="s">
        <v>4566</v>
      </c>
      <c r="E58" s="613" t="s">
        <v>4617</v>
      </c>
      <c r="F58" s="613" t="s">
        <v>4614</v>
      </c>
      <c r="G58" s="612" t="s">
        <v>18</v>
      </c>
      <c r="H58" s="613" t="s">
        <v>6019</v>
      </c>
      <c r="I58" s="613" t="s">
        <v>4569</v>
      </c>
      <c r="J58" s="614">
        <v>14980.477999999999</v>
      </c>
      <c r="K58" s="614">
        <v>53.31</v>
      </c>
      <c r="L58" s="873">
        <f t="shared" si="0"/>
        <v>281.00690302007126</v>
      </c>
      <c r="M58" s="612">
        <v>48</v>
      </c>
      <c r="N58" s="615">
        <f t="shared" si="1"/>
        <v>312.09329166666663</v>
      </c>
      <c r="O58" s="616">
        <f t="shared" ca="1" si="2"/>
        <v>35</v>
      </c>
      <c r="P58" s="873">
        <f t="shared" ca="1" si="3"/>
        <v>4057.2127916666668</v>
      </c>
      <c r="Q58" s="612" t="s">
        <v>4570</v>
      </c>
    </row>
    <row r="59" spans="2:17" ht="75" customHeight="1" x14ac:dyDescent="0.25">
      <c r="B59" s="611">
        <v>44797</v>
      </c>
      <c r="C59" s="611">
        <v>44797</v>
      </c>
      <c r="D59" s="612" t="s">
        <v>4566</v>
      </c>
      <c r="E59" s="613" t="s">
        <v>4618</v>
      </c>
      <c r="F59" s="613" t="s">
        <v>4614</v>
      </c>
      <c r="G59" s="612" t="s">
        <v>18</v>
      </c>
      <c r="H59" s="613" t="s">
        <v>6019</v>
      </c>
      <c r="I59" s="613" t="s">
        <v>4569</v>
      </c>
      <c r="J59" s="614">
        <v>14980.477999999999</v>
      </c>
      <c r="K59" s="614">
        <v>53.31</v>
      </c>
      <c r="L59" s="873">
        <f t="shared" si="0"/>
        <v>281.00690302007126</v>
      </c>
      <c r="M59" s="612">
        <v>48</v>
      </c>
      <c r="N59" s="615">
        <f t="shared" si="1"/>
        <v>312.09329166666663</v>
      </c>
      <c r="O59" s="616">
        <f t="shared" ca="1" si="2"/>
        <v>35</v>
      </c>
      <c r="P59" s="873">
        <f t="shared" ca="1" si="3"/>
        <v>4057.2127916666668</v>
      </c>
      <c r="Q59" s="612" t="s">
        <v>4570</v>
      </c>
    </row>
    <row r="60" spans="2:17" ht="75" customHeight="1" x14ac:dyDescent="0.25">
      <c r="B60" s="611">
        <v>44797</v>
      </c>
      <c r="C60" s="611">
        <v>44797</v>
      </c>
      <c r="D60" s="612" t="s">
        <v>4566</v>
      </c>
      <c r="E60" s="613" t="s">
        <v>4619</v>
      </c>
      <c r="F60" s="613" t="s">
        <v>4614</v>
      </c>
      <c r="G60" s="612" t="s">
        <v>18</v>
      </c>
      <c r="H60" s="613" t="s">
        <v>6019</v>
      </c>
      <c r="I60" s="613" t="s">
        <v>4569</v>
      </c>
      <c r="J60" s="614">
        <v>14980.477999999999</v>
      </c>
      <c r="K60" s="614">
        <v>53.31</v>
      </c>
      <c r="L60" s="873">
        <f t="shared" si="0"/>
        <v>281.00690302007126</v>
      </c>
      <c r="M60" s="612">
        <v>48</v>
      </c>
      <c r="N60" s="615">
        <f t="shared" si="1"/>
        <v>312.09329166666663</v>
      </c>
      <c r="O60" s="616">
        <f t="shared" ca="1" si="2"/>
        <v>35</v>
      </c>
      <c r="P60" s="873">
        <f t="shared" ca="1" si="3"/>
        <v>4057.2127916666668</v>
      </c>
      <c r="Q60" s="612" t="s">
        <v>4570</v>
      </c>
    </row>
    <row r="61" spans="2:17" ht="75" customHeight="1" x14ac:dyDescent="0.25">
      <c r="B61" s="611">
        <v>44797</v>
      </c>
      <c r="C61" s="611">
        <v>44797</v>
      </c>
      <c r="D61" s="612" t="s">
        <v>4566</v>
      </c>
      <c r="E61" s="613" t="s">
        <v>4620</v>
      </c>
      <c r="F61" s="613" t="s">
        <v>4614</v>
      </c>
      <c r="G61" s="612" t="s">
        <v>18</v>
      </c>
      <c r="H61" s="613" t="s">
        <v>6019</v>
      </c>
      <c r="I61" s="613" t="s">
        <v>4569</v>
      </c>
      <c r="J61" s="614">
        <v>14980.477999999999</v>
      </c>
      <c r="K61" s="614">
        <v>53.31</v>
      </c>
      <c r="L61" s="873">
        <f t="shared" si="0"/>
        <v>281.00690302007126</v>
      </c>
      <c r="M61" s="612">
        <v>48</v>
      </c>
      <c r="N61" s="615">
        <f t="shared" si="1"/>
        <v>312.09329166666663</v>
      </c>
      <c r="O61" s="616">
        <f t="shared" ca="1" si="2"/>
        <v>35</v>
      </c>
      <c r="P61" s="873">
        <f t="shared" ca="1" si="3"/>
        <v>4057.2127916666668</v>
      </c>
      <c r="Q61" s="612" t="s">
        <v>4570</v>
      </c>
    </row>
    <row r="62" spans="2:17" ht="75" customHeight="1" x14ac:dyDescent="0.25">
      <c r="B62" s="611">
        <v>44797</v>
      </c>
      <c r="C62" s="611">
        <v>44797</v>
      </c>
      <c r="D62" s="612" t="s">
        <v>4566</v>
      </c>
      <c r="E62" s="613" t="s">
        <v>4621</v>
      </c>
      <c r="F62" s="613" t="s">
        <v>4614</v>
      </c>
      <c r="G62" s="612" t="s">
        <v>18</v>
      </c>
      <c r="H62" s="613" t="s">
        <v>6019</v>
      </c>
      <c r="I62" s="613" t="s">
        <v>4569</v>
      </c>
      <c r="J62" s="614">
        <v>14980.477999999999</v>
      </c>
      <c r="K62" s="614">
        <v>53.31</v>
      </c>
      <c r="L62" s="873">
        <f t="shared" si="0"/>
        <v>281.00690302007126</v>
      </c>
      <c r="M62" s="612">
        <v>48</v>
      </c>
      <c r="N62" s="615">
        <f t="shared" si="1"/>
        <v>312.09329166666663</v>
      </c>
      <c r="O62" s="616">
        <f t="shared" ca="1" si="2"/>
        <v>35</v>
      </c>
      <c r="P62" s="873">
        <f t="shared" ca="1" si="3"/>
        <v>4057.2127916666668</v>
      </c>
      <c r="Q62" s="612" t="s">
        <v>4570</v>
      </c>
    </row>
    <row r="63" spans="2:17" ht="75" customHeight="1" x14ac:dyDescent="0.25">
      <c r="B63" s="611">
        <v>44797</v>
      </c>
      <c r="C63" s="611">
        <v>44797</v>
      </c>
      <c r="D63" s="612" t="s">
        <v>4566</v>
      </c>
      <c r="E63" s="613" t="s">
        <v>4622</v>
      </c>
      <c r="F63" s="613" t="s">
        <v>4614</v>
      </c>
      <c r="G63" s="612" t="s">
        <v>18</v>
      </c>
      <c r="H63" s="613" t="s">
        <v>6019</v>
      </c>
      <c r="I63" s="613" t="s">
        <v>4569</v>
      </c>
      <c r="J63" s="614">
        <v>14980.477999999999</v>
      </c>
      <c r="K63" s="614">
        <v>53.31</v>
      </c>
      <c r="L63" s="873">
        <f t="shared" si="0"/>
        <v>281.00690302007126</v>
      </c>
      <c r="M63" s="612">
        <v>48</v>
      </c>
      <c r="N63" s="615">
        <f t="shared" si="1"/>
        <v>312.09329166666663</v>
      </c>
      <c r="O63" s="616">
        <f t="shared" ca="1" si="2"/>
        <v>35</v>
      </c>
      <c r="P63" s="873">
        <f t="shared" ca="1" si="3"/>
        <v>4057.2127916666668</v>
      </c>
      <c r="Q63" s="612" t="s">
        <v>4570</v>
      </c>
    </row>
    <row r="64" spans="2:17" ht="75" customHeight="1" x14ac:dyDescent="0.25">
      <c r="B64" s="611">
        <v>44797</v>
      </c>
      <c r="C64" s="611">
        <v>44797</v>
      </c>
      <c r="D64" s="612" t="s">
        <v>4566</v>
      </c>
      <c r="E64" s="613" t="s">
        <v>4623</v>
      </c>
      <c r="F64" s="613" t="s">
        <v>4614</v>
      </c>
      <c r="G64" s="612" t="s">
        <v>18</v>
      </c>
      <c r="H64" s="613" t="s">
        <v>6019</v>
      </c>
      <c r="I64" s="613" t="s">
        <v>4569</v>
      </c>
      <c r="J64" s="614">
        <v>14980.477999999999</v>
      </c>
      <c r="K64" s="614">
        <v>53.31</v>
      </c>
      <c r="L64" s="873">
        <f t="shared" si="0"/>
        <v>281.00690302007126</v>
      </c>
      <c r="M64" s="612">
        <v>48</v>
      </c>
      <c r="N64" s="615">
        <f t="shared" si="1"/>
        <v>312.09329166666663</v>
      </c>
      <c r="O64" s="616">
        <f t="shared" ca="1" si="2"/>
        <v>35</v>
      </c>
      <c r="P64" s="873">
        <f t="shared" ca="1" si="3"/>
        <v>4057.2127916666668</v>
      </c>
      <c r="Q64" s="612" t="s">
        <v>4570</v>
      </c>
    </row>
    <row r="65" spans="2:17" ht="75" customHeight="1" x14ac:dyDescent="0.25">
      <c r="B65" s="611">
        <v>44797</v>
      </c>
      <c r="C65" s="611">
        <v>44797</v>
      </c>
      <c r="D65" s="612" t="s">
        <v>4566</v>
      </c>
      <c r="E65" s="613" t="s">
        <v>4624</v>
      </c>
      <c r="F65" s="613" t="s">
        <v>4625</v>
      </c>
      <c r="G65" s="612" t="s">
        <v>18</v>
      </c>
      <c r="H65" s="613" t="s">
        <v>6019</v>
      </c>
      <c r="I65" s="613" t="s">
        <v>4569</v>
      </c>
      <c r="J65" s="614">
        <v>14980.477999999999</v>
      </c>
      <c r="K65" s="614">
        <v>53.31</v>
      </c>
      <c r="L65" s="873">
        <f t="shared" si="0"/>
        <v>281.00690302007126</v>
      </c>
      <c r="M65" s="612">
        <v>48</v>
      </c>
      <c r="N65" s="615">
        <f t="shared" si="1"/>
        <v>312.09329166666663</v>
      </c>
      <c r="O65" s="616">
        <f t="shared" ca="1" si="2"/>
        <v>35</v>
      </c>
      <c r="P65" s="873">
        <f t="shared" ca="1" si="3"/>
        <v>4057.2127916666668</v>
      </c>
      <c r="Q65" s="612" t="s">
        <v>4570</v>
      </c>
    </row>
    <row r="66" spans="2:17" ht="75" customHeight="1" x14ac:dyDescent="0.25">
      <c r="B66" s="611">
        <v>44797</v>
      </c>
      <c r="C66" s="611">
        <v>44797</v>
      </c>
      <c r="D66" s="612" t="s">
        <v>4566</v>
      </c>
      <c r="E66" s="613" t="s">
        <v>4626</v>
      </c>
      <c r="F66" s="613" t="s">
        <v>4625</v>
      </c>
      <c r="G66" s="612" t="s">
        <v>18</v>
      </c>
      <c r="H66" s="613" t="s">
        <v>6019</v>
      </c>
      <c r="I66" s="613" t="s">
        <v>4569</v>
      </c>
      <c r="J66" s="614">
        <v>14980.477999999999</v>
      </c>
      <c r="K66" s="614">
        <v>53.31</v>
      </c>
      <c r="L66" s="873">
        <f t="shared" si="0"/>
        <v>281.00690302007126</v>
      </c>
      <c r="M66" s="612">
        <v>48</v>
      </c>
      <c r="N66" s="615">
        <f t="shared" si="1"/>
        <v>312.09329166666663</v>
      </c>
      <c r="O66" s="616">
        <f t="shared" ca="1" si="2"/>
        <v>35</v>
      </c>
      <c r="P66" s="873">
        <f t="shared" ca="1" si="3"/>
        <v>4057.2127916666668</v>
      </c>
      <c r="Q66" s="612" t="s">
        <v>4570</v>
      </c>
    </row>
    <row r="67" spans="2:17" ht="75" customHeight="1" x14ac:dyDescent="0.25">
      <c r="B67" s="611">
        <v>44797</v>
      </c>
      <c r="C67" s="611">
        <v>44797</v>
      </c>
      <c r="D67" s="612" t="s">
        <v>4566</v>
      </c>
      <c r="E67" s="613" t="s">
        <v>4627</v>
      </c>
      <c r="F67" s="613" t="s">
        <v>4625</v>
      </c>
      <c r="G67" s="612" t="s">
        <v>18</v>
      </c>
      <c r="H67" s="613" t="s">
        <v>6019</v>
      </c>
      <c r="I67" s="613" t="s">
        <v>4569</v>
      </c>
      <c r="J67" s="614">
        <v>14980.477999999999</v>
      </c>
      <c r="K67" s="614">
        <v>53.31</v>
      </c>
      <c r="L67" s="873">
        <f t="shared" si="0"/>
        <v>281.00690302007126</v>
      </c>
      <c r="M67" s="612">
        <v>48</v>
      </c>
      <c r="N67" s="615">
        <f t="shared" si="1"/>
        <v>312.09329166666663</v>
      </c>
      <c r="O67" s="616">
        <f t="shared" ca="1" si="2"/>
        <v>35</v>
      </c>
      <c r="P67" s="873">
        <f t="shared" ca="1" si="3"/>
        <v>4057.2127916666668</v>
      </c>
      <c r="Q67" s="612" t="s">
        <v>4570</v>
      </c>
    </row>
    <row r="68" spans="2:17" ht="75" customHeight="1" x14ac:dyDescent="0.25">
      <c r="B68" s="611">
        <v>44797</v>
      </c>
      <c r="C68" s="611">
        <v>44797</v>
      </c>
      <c r="D68" s="612" t="s">
        <v>4566</v>
      </c>
      <c r="E68" s="613" t="s">
        <v>4628</v>
      </c>
      <c r="F68" s="613" t="s">
        <v>4625</v>
      </c>
      <c r="G68" s="612" t="s">
        <v>18</v>
      </c>
      <c r="H68" s="613" t="s">
        <v>6019</v>
      </c>
      <c r="I68" s="613" t="s">
        <v>4569</v>
      </c>
      <c r="J68" s="614">
        <v>14980.477999999999</v>
      </c>
      <c r="K68" s="614">
        <v>53.31</v>
      </c>
      <c r="L68" s="873">
        <f t="shared" si="0"/>
        <v>281.00690302007126</v>
      </c>
      <c r="M68" s="612">
        <v>48</v>
      </c>
      <c r="N68" s="615">
        <f t="shared" si="1"/>
        <v>312.09329166666663</v>
      </c>
      <c r="O68" s="616">
        <f t="shared" ca="1" si="2"/>
        <v>35</v>
      </c>
      <c r="P68" s="873">
        <f t="shared" ca="1" si="3"/>
        <v>4057.2127916666668</v>
      </c>
      <c r="Q68" s="612" t="s">
        <v>4570</v>
      </c>
    </row>
    <row r="69" spans="2:17" ht="75" customHeight="1" x14ac:dyDescent="0.25">
      <c r="B69" s="611">
        <v>44797</v>
      </c>
      <c r="C69" s="611">
        <v>44797</v>
      </c>
      <c r="D69" s="612" t="s">
        <v>4566</v>
      </c>
      <c r="E69" s="613" t="s">
        <v>4629</v>
      </c>
      <c r="F69" s="613" t="s">
        <v>4625</v>
      </c>
      <c r="G69" s="612" t="s">
        <v>18</v>
      </c>
      <c r="H69" s="613" t="s">
        <v>6019</v>
      </c>
      <c r="I69" s="613" t="s">
        <v>4569</v>
      </c>
      <c r="J69" s="614">
        <v>14980.477999999999</v>
      </c>
      <c r="K69" s="614">
        <v>53.31</v>
      </c>
      <c r="L69" s="873">
        <f t="shared" si="0"/>
        <v>281.00690302007126</v>
      </c>
      <c r="M69" s="612">
        <v>48</v>
      </c>
      <c r="N69" s="615">
        <f t="shared" si="1"/>
        <v>312.09329166666663</v>
      </c>
      <c r="O69" s="616">
        <f t="shared" ca="1" si="2"/>
        <v>35</v>
      </c>
      <c r="P69" s="873">
        <f t="shared" ca="1" si="3"/>
        <v>4057.2127916666668</v>
      </c>
      <c r="Q69" s="612" t="s">
        <v>4570</v>
      </c>
    </row>
    <row r="70" spans="2:17" ht="75" customHeight="1" x14ac:dyDescent="0.25">
      <c r="B70" s="611">
        <v>44797</v>
      </c>
      <c r="C70" s="611">
        <v>44797</v>
      </c>
      <c r="D70" s="612" t="s">
        <v>4566</v>
      </c>
      <c r="E70" s="613" t="s">
        <v>4630</v>
      </c>
      <c r="F70" s="613" t="s">
        <v>4625</v>
      </c>
      <c r="G70" s="612" t="s">
        <v>18</v>
      </c>
      <c r="H70" s="613" t="s">
        <v>6019</v>
      </c>
      <c r="I70" s="613" t="s">
        <v>4569</v>
      </c>
      <c r="J70" s="614">
        <v>14980.477999999999</v>
      </c>
      <c r="K70" s="614">
        <v>53.31</v>
      </c>
      <c r="L70" s="873">
        <f t="shared" si="0"/>
        <v>281.00690302007126</v>
      </c>
      <c r="M70" s="612">
        <v>48</v>
      </c>
      <c r="N70" s="615">
        <f t="shared" si="1"/>
        <v>312.09329166666663</v>
      </c>
      <c r="O70" s="616">
        <f t="shared" ca="1" si="2"/>
        <v>35</v>
      </c>
      <c r="P70" s="873">
        <f t="shared" ca="1" si="3"/>
        <v>4057.2127916666668</v>
      </c>
      <c r="Q70" s="612" t="s">
        <v>4570</v>
      </c>
    </row>
    <row r="71" spans="2:17" ht="75" customHeight="1" x14ac:dyDescent="0.25">
      <c r="B71" s="611">
        <v>44797</v>
      </c>
      <c r="C71" s="611">
        <v>44797</v>
      </c>
      <c r="D71" s="612" t="s">
        <v>4566</v>
      </c>
      <c r="E71" s="613" t="s">
        <v>4631</v>
      </c>
      <c r="F71" s="613" t="s">
        <v>4625</v>
      </c>
      <c r="G71" s="612" t="s">
        <v>18</v>
      </c>
      <c r="H71" s="613" t="s">
        <v>6019</v>
      </c>
      <c r="I71" s="613" t="s">
        <v>4569</v>
      </c>
      <c r="J71" s="614">
        <v>14980.477999999999</v>
      </c>
      <c r="K71" s="614">
        <v>53.31</v>
      </c>
      <c r="L71" s="873">
        <f t="shared" si="0"/>
        <v>281.00690302007126</v>
      </c>
      <c r="M71" s="612">
        <v>48</v>
      </c>
      <c r="N71" s="615">
        <f t="shared" si="1"/>
        <v>312.09329166666663</v>
      </c>
      <c r="O71" s="616">
        <f t="shared" ca="1" si="2"/>
        <v>35</v>
      </c>
      <c r="P71" s="873">
        <f t="shared" ca="1" si="3"/>
        <v>4057.2127916666668</v>
      </c>
      <c r="Q71" s="612" t="s">
        <v>4570</v>
      </c>
    </row>
    <row r="72" spans="2:17" ht="75" customHeight="1" x14ac:dyDescent="0.25">
      <c r="B72" s="611">
        <v>44797</v>
      </c>
      <c r="C72" s="611">
        <v>44797</v>
      </c>
      <c r="D72" s="612" t="s">
        <v>4566</v>
      </c>
      <c r="E72" s="613" t="s">
        <v>4632</v>
      </c>
      <c r="F72" s="613" t="s">
        <v>4625</v>
      </c>
      <c r="G72" s="612" t="s">
        <v>18</v>
      </c>
      <c r="H72" s="613" t="s">
        <v>6019</v>
      </c>
      <c r="I72" s="613" t="s">
        <v>4569</v>
      </c>
      <c r="J72" s="614">
        <v>14980.477999999999</v>
      </c>
      <c r="K72" s="614">
        <v>53.31</v>
      </c>
      <c r="L72" s="873">
        <f t="shared" ref="L72:L135" si="4">+J72/K72</f>
        <v>281.00690302007126</v>
      </c>
      <c r="M72" s="612">
        <v>48</v>
      </c>
      <c r="N72" s="615">
        <f t="shared" ref="N72:N135" si="5">+J72/M72</f>
        <v>312.09329166666663</v>
      </c>
      <c r="O72" s="616">
        <f t="shared" ref="O72:O135" ca="1" si="6">IF(B72&lt;&gt;0,(ROUND((NOW()-B72)/30,0)),0)</f>
        <v>35</v>
      </c>
      <c r="P72" s="873">
        <f t="shared" ref="P72:P135" ca="1" si="7">IF(OR(J72=0,M72=0,O72=0),0,J72-(N72*O72))</f>
        <v>4057.2127916666668</v>
      </c>
      <c r="Q72" s="612" t="s">
        <v>4570</v>
      </c>
    </row>
    <row r="73" spans="2:17" ht="75" customHeight="1" x14ac:dyDescent="0.25">
      <c r="B73" s="611">
        <v>44797</v>
      </c>
      <c r="C73" s="611">
        <v>44797</v>
      </c>
      <c r="D73" s="612" t="s">
        <v>4566</v>
      </c>
      <c r="E73" s="613" t="s">
        <v>4633</v>
      </c>
      <c r="F73" s="613" t="s">
        <v>4625</v>
      </c>
      <c r="G73" s="612" t="s">
        <v>18</v>
      </c>
      <c r="H73" s="613" t="s">
        <v>6019</v>
      </c>
      <c r="I73" s="613" t="s">
        <v>4569</v>
      </c>
      <c r="J73" s="614">
        <v>14980.477999999999</v>
      </c>
      <c r="K73" s="614">
        <v>53.31</v>
      </c>
      <c r="L73" s="873">
        <f t="shared" si="4"/>
        <v>281.00690302007126</v>
      </c>
      <c r="M73" s="612">
        <v>48</v>
      </c>
      <c r="N73" s="615">
        <f t="shared" si="5"/>
        <v>312.09329166666663</v>
      </c>
      <c r="O73" s="616">
        <f t="shared" ca="1" si="6"/>
        <v>35</v>
      </c>
      <c r="P73" s="873">
        <f t="shared" ca="1" si="7"/>
        <v>4057.2127916666668</v>
      </c>
      <c r="Q73" s="612" t="s">
        <v>4570</v>
      </c>
    </row>
    <row r="74" spans="2:17" ht="75" customHeight="1" x14ac:dyDescent="0.25">
      <c r="B74" s="611">
        <v>44797</v>
      </c>
      <c r="C74" s="611">
        <v>44797</v>
      </c>
      <c r="D74" s="612" t="s">
        <v>4566</v>
      </c>
      <c r="E74" s="613" t="s">
        <v>4634</v>
      </c>
      <c r="F74" s="613" t="s">
        <v>4625</v>
      </c>
      <c r="G74" s="612" t="s">
        <v>18</v>
      </c>
      <c r="H74" s="613" t="s">
        <v>6019</v>
      </c>
      <c r="I74" s="613" t="s">
        <v>4569</v>
      </c>
      <c r="J74" s="614">
        <v>14980.477999999999</v>
      </c>
      <c r="K74" s="614">
        <v>53.31</v>
      </c>
      <c r="L74" s="873">
        <f t="shared" si="4"/>
        <v>281.00690302007126</v>
      </c>
      <c r="M74" s="612">
        <v>48</v>
      </c>
      <c r="N74" s="615">
        <f t="shared" si="5"/>
        <v>312.09329166666663</v>
      </c>
      <c r="O74" s="616">
        <f t="shared" ca="1" si="6"/>
        <v>35</v>
      </c>
      <c r="P74" s="873">
        <f t="shared" ca="1" si="7"/>
        <v>4057.2127916666668</v>
      </c>
      <c r="Q74" s="612" t="s">
        <v>4570</v>
      </c>
    </row>
    <row r="75" spans="2:17" ht="75" customHeight="1" x14ac:dyDescent="0.25">
      <c r="B75" s="611">
        <v>44797</v>
      </c>
      <c r="C75" s="611">
        <v>44797</v>
      </c>
      <c r="D75" s="612" t="s">
        <v>4566</v>
      </c>
      <c r="E75" s="613" t="s">
        <v>4635</v>
      </c>
      <c r="F75" s="613" t="s">
        <v>4636</v>
      </c>
      <c r="G75" s="612" t="s">
        <v>18</v>
      </c>
      <c r="H75" s="613" t="s">
        <v>6019</v>
      </c>
      <c r="I75" s="613" t="s">
        <v>4569</v>
      </c>
      <c r="J75" s="614">
        <v>14980.477999999999</v>
      </c>
      <c r="K75" s="614">
        <v>53.31</v>
      </c>
      <c r="L75" s="873">
        <f t="shared" si="4"/>
        <v>281.00690302007126</v>
      </c>
      <c r="M75" s="612">
        <v>48</v>
      </c>
      <c r="N75" s="615">
        <f t="shared" si="5"/>
        <v>312.09329166666663</v>
      </c>
      <c r="O75" s="616">
        <f t="shared" ca="1" si="6"/>
        <v>35</v>
      </c>
      <c r="P75" s="873">
        <f t="shared" ca="1" si="7"/>
        <v>4057.2127916666668</v>
      </c>
      <c r="Q75" s="612" t="s">
        <v>4570</v>
      </c>
    </row>
    <row r="76" spans="2:17" ht="75" customHeight="1" x14ac:dyDescent="0.25">
      <c r="B76" s="611">
        <v>44797</v>
      </c>
      <c r="C76" s="611">
        <v>44797</v>
      </c>
      <c r="D76" s="612" t="s">
        <v>4566</v>
      </c>
      <c r="E76" s="613" t="s">
        <v>4637</v>
      </c>
      <c r="F76" s="613" t="s">
        <v>4636</v>
      </c>
      <c r="G76" s="612" t="s">
        <v>18</v>
      </c>
      <c r="H76" s="613" t="s">
        <v>6019</v>
      </c>
      <c r="I76" s="613" t="s">
        <v>4569</v>
      </c>
      <c r="J76" s="614">
        <v>14980.477999999999</v>
      </c>
      <c r="K76" s="614">
        <v>53.31</v>
      </c>
      <c r="L76" s="873">
        <f t="shared" si="4"/>
        <v>281.00690302007126</v>
      </c>
      <c r="M76" s="612">
        <v>48</v>
      </c>
      <c r="N76" s="615">
        <f t="shared" si="5"/>
        <v>312.09329166666663</v>
      </c>
      <c r="O76" s="616">
        <f t="shared" ca="1" si="6"/>
        <v>35</v>
      </c>
      <c r="P76" s="873">
        <f t="shared" ca="1" si="7"/>
        <v>4057.2127916666668</v>
      </c>
      <c r="Q76" s="612" t="s">
        <v>4570</v>
      </c>
    </row>
    <row r="77" spans="2:17" ht="75" customHeight="1" x14ac:dyDescent="0.25">
      <c r="B77" s="611">
        <v>44797</v>
      </c>
      <c r="C77" s="611">
        <v>44797</v>
      </c>
      <c r="D77" s="612" t="s">
        <v>4566</v>
      </c>
      <c r="E77" s="613" t="s">
        <v>4638</v>
      </c>
      <c r="F77" s="613" t="s">
        <v>4636</v>
      </c>
      <c r="G77" s="612" t="s">
        <v>18</v>
      </c>
      <c r="H77" s="613" t="s">
        <v>6019</v>
      </c>
      <c r="I77" s="613" t="s">
        <v>4569</v>
      </c>
      <c r="J77" s="614">
        <v>14980.477999999999</v>
      </c>
      <c r="K77" s="614">
        <v>53.31</v>
      </c>
      <c r="L77" s="873">
        <f t="shared" si="4"/>
        <v>281.00690302007126</v>
      </c>
      <c r="M77" s="612">
        <v>48</v>
      </c>
      <c r="N77" s="615">
        <f t="shared" si="5"/>
        <v>312.09329166666663</v>
      </c>
      <c r="O77" s="616">
        <f t="shared" ca="1" si="6"/>
        <v>35</v>
      </c>
      <c r="P77" s="873">
        <f t="shared" ca="1" si="7"/>
        <v>4057.2127916666668</v>
      </c>
      <c r="Q77" s="612" t="s">
        <v>4570</v>
      </c>
    </row>
    <row r="78" spans="2:17" ht="75" customHeight="1" x14ac:dyDescent="0.25">
      <c r="B78" s="611">
        <v>44797</v>
      </c>
      <c r="C78" s="611">
        <v>44797</v>
      </c>
      <c r="D78" s="612" t="s">
        <v>4566</v>
      </c>
      <c r="E78" s="613" t="s">
        <v>4639</v>
      </c>
      <c r="F78" s="613" t="s">
        <v>4636</v>
      </c>
      <c r="G78" s="612" t="s">
        <v>18</v>
      </c>
      <c r="H78" s="613" t="s">
        <v>6019</v>
      </c>
      <c r="I78" s="613" t="s">
        <v>4569</v>
      </c>
      <c r="J78" s="614">
        <v>14980.477999999999</v>
      </c>
      <c r="K78" s="614">
        <v>53.31</v>
      </c>
      <c r="L78" s="873">
        <f t="shared" si="4"/>
        <v>281.00690302007126</v>
      </c>
      <c r="M78" s="612">
        <v>48</v>
      </c>
      <c r="N78" s="615">
        <f t="shared" si="5"/>
        <v>312.09329166666663</v>
      </c>
      <c r="O78" s="616">
        <f t="shared" ca="1" si="6"/>
        <v>35</v>
      </c>
      <c r="P78" s="873">
        <f t="shared" ca="1" si="7"/>
        <v>4057.2127916666668</v>
      </c>
      <c r="Q78" s="612" t="s">
        <v>4570</v>
      </c>
    </row>
    <row r="79" spans="2:17" ht="75" customHeight="1" x14ac:dyDescent="0.25">
      <c r="B79" s="611">
        <v>44797</v>
      </c>
      <c r="C79" s="611">
        <v>44797</v>
      </c>
      <c r="D79" s="612" t="s">
        <v>4566</v>
      </c>
      <c r="E79" s="613" t="s">
        <v>4640</v>
      </c>
      <c r="F79" s="613" t="s">
        <v>4636</v>
      </c>
      <c r="G79" s="612" t="s">
        <v>18</v>
      </c>
      <c r="H79" s="613" t="s">
        <v>6019</v>
      </c>
      <c r="I79" s="613" t="s">
        <v>4569</v>
      </c>
      <c r="J79" s="614">
        <v>14980.477999999999</v>
      </c>
      <c r="K79" s="614">
        <v>53.31</v>
      </c>
      <c r="L79" s="873">
        <f t="shared" si="4"/>
        <v>281.00690302007126</v>
      </c>
      <c r="M79" s="612">
        <v>48</v>
      </c>
      <c r="N79" s="615">
        <f t="shared" si="5"/>
        <v>312.09329166666663</v>
      </c>
      <c r="O79" s="616">
        <f t="shared" ca="1" si="6"/>
        <v>35</v>
      </c>
      <c r="P79" s="873">
        <f t="shared" ca="1" si="7"/>
        <v>4057.2127916666668</v>
      </c>
      <c r="Q79" s="612" t="s">
        <v>4570</v>
      </c>
    </row>
    <row r="80" spans="2:17" ht="75" customHeight="1" x14ac:dyDescent="0.25">
      <c r="B80" s="611">
        <v>44797</v>
      </c>
      <c r="C80" s="611">
        <v>44797</v>
      </c>
      <c r="D80" s="612" t="s">
        <v>4566</v>
      </c>
      <c r="E80" s="613" t="s">
        <v>4641</v>
      </c>
      <c r="F80" s="613" t="s">
        <v>4636</v>
      </c>
      <c r="G80" s="612" t="s">
        <v>18</v>
      </c>
      <c r="H80" s="613" t="s">
        <v>6019</v>
      </c>
      <c r="I80" s="613" t="s">
        <v>4569</v>
      </c>
      <c r="J80" s="614">
        <v>14980.477999999999</v>
      </c>
      <c r="K80" s="614">
        <v>53.31</v>
      </c>
      <c r="L80" s="873">
        <f t="shared" si="4"/>
        <v>281.00690302007126</v>
      </c>
      <c r="M80" s="612">
        <v>48</v>
      </c>
      <c r="N80" s="615">
        <f t="shared" si="5"/>
        <v>312.09329166666663</v>
      </c>
      <c r="O80" s="616">
        <f t="shared" ca="1" si="6"/>
        <v>35</v>
      </c>
      <c r="P80" s="873">
        <f t="shared" ca="1" si="7"/>
        <v>4057.2127916666668</v>
      </c>
      <c r="Q80" s="612" t="s">
        <v>4570</v>
      </c>
    </row>
    <row r="81" spans="2:17" ht="75" customHeight="1" x14ac:dyDescent="0.25">
      <c r="B81" s="611">
        <v>44797</v>
      </c>
      <c r="C81" s="611">
        <v>44797</v>
      </c>
      <c r="D81" s="612" t="s">
        <v>4566</v>
      </c>
      <c r="E81" s="613" t="s">
        <v>4642</v>
      </c>
      <c r="F81" s="613" t="s">
        <v>4636</v>
      </c>
      <c r="G81" s="612" t="s">
        <v>18</v>
      </c>
      <c r="H81" s="613" t="s">
        <v>6019</v>
      </c>
      <c r="I81" s="613" t="s">
        <v>4569</v>
      </c>
      <c r="J81" s="614">
        <v>14980.477999999999</v>
      </c>
      <c r="K81" s="614">
        <v>53.31</v>
      </c>
      <c r="L81" s="873">
        <f t="shared" si="4"/>
        <v>281.00690302007126</v>
      </c>
      <c r="M81" s="612">
        <v>48</v>
      </c>
      <c r="N81" s="615">
        <f t="shared" si="5"/>
        <v>312.09329166666663</v>
      </c>
      <c r="O81" s="616">
        <f t="shared" ca="1" si="6"/>
        <v>35</v>
      </c>
      <c r="P81" s="873">
        <f t="shared" ca="1" si="7"/>
        <v>4057.2127916666668</v>
      </c>
      <c r="Q81" s="612" t="s">
        <v>4570</v>
      </c>
    </row>
    <row r="82" spans="2:17" ht="75" customHeight="1" x14ac:dyDescent="0.25">
      <c r="B82" s="611">
        <v>44797</v>
      </c>
      <c r="C82" s="611">
        <v>44797</v>
      </c>
      <c r="D82" s="612" t="s">
        <v>4566</v>
      </c>
      <c r="E82" s="613" t="s">
        <v>4643</v>
      </c>
      <c r="F82" s="613" t="s">
        <v>4636</v>
      </c>
      <c r="G82" s="612" t="s">
        <v>18</v>
      </c>
      <c r="H82" s="613" t="s">
        <v>6019</v>
      </c>
      <c r="I82" s="613" t="s">
        <v>4569</v>
      </c>
      <c r="J82" s="614">
        <v>14980.477999999999</v>
      </c>
      <c r="K82" s="614">
        <v>53.31</v>
      </c>
      <c r="L82" s="873">
        <f t="shared" si="4"/>
        <v>281.00690302007126</v>
      </c>
      <c r="M82" s="612">
        <v>48</v>
      </c>
      <c r="N82" s="615">
        <f t="shared" si="5"/>
        <v>312.09329166666663</v>
      </c>
      <c r="O82" s="616">
        <f t="shared" ca="1" si="6"/>
        <v>35</v>
      </c>
      <c r="P82" s="873">
        <f t="shared" ca="1" si="7"/>
        <v>4057.2127916666668</v>
      </c>
      <c r="Q82" s="612" t="s">
        <v>4570</v>
      </c>
    </row>
    <row r="83" spans="2:17" ht="75" customHeight="1" x14ac:dyDescent="0.25">
      <c r="B83" s="611">
        <v>44797</v>
      </c>
      <c r="C83" s="611">
        <v>44797</v>
      </c>
      <c r="D83" s="612" t="s">
        <v>4566</v>
      </c>
      <c r="E83" s="613" t="s">
        <v>4644</v>
      </c>
      <c r="F83" s="613" t="s">
        <v>4636</v>
      </c>
      <c r="G83" s="612" t="s">
        <v>18</v>
      </c>
      <c r="H83" s="613" t="s">
        <v>6019</v>
      </c>
      <c r="I83" s="613" t="s">
        <v>4569</v>
      </c>
      <c r="J83" s="614">
        <v>14980.477999999999</v>
      </c>
      <c r="K83" s="614">
        <v>53.31</v>
      </c>
      <c r="L83" s="873">
        <f t="shared" si="4"/>
        <v>281.00690302007126</v>
      </c>
      <c r="M83" s="612">
        <v>48</v>
      </c>
      <c r="N83" s="615">
        <f t="shared" si="5"/>
        <v>312.09329166666663</v>
      </c>
      <c r="O83" s="616">
        <f t="shared" ca="1" si="6"/>
        <v>35</v>
      </c>
      <c r="P83" s="873">
        <f t="shared" ca="1" si="7"/>
        <v>4057.2127916666668</v>
      </c>
      <c r="Q83" s="612" t="s">
        <v>4570</v>
      </c>
    </row>
    <row r="84" spans="2:17" ht="75" customHeight="1" x14ac:dyDescent="0.25">
      <c r="B84" s="611">
        <v>44797</v>
      </c>
      <c r="C84" s="611">
        <v>44797</v>
      </c>
      <c r="D84" s="612" t="s">
        <v>4566</v>
      </c>
      <c r="E84" s="613" t="s">
        <v>4645</v>
      </c>
      <c r="F84" s="613" t="s">
        <v>4636</v>
      </c>
      <c r="G84" s="612" t="s">
        <v>18</v>
      </c>
      <c r="H84" s="613" t="s">
        <v>6019</v>
      </c>
      <c r="I84" s="613" t="s">
        <v>4569</v>
      </c>
      <c r="J84" s="614">
        <v>14980.477999999999</v>
      </c>
      <c r="K84" s="614">
        <v>53.31</v>
      </c>
      <c r="L84" s="873">
        <f t="shared" si="4"/>
        <v>281.00690302007126</v>
      </c>
      <c r="M84" s="612">
        <v>48</v>
      </c>
      <c r="N84" s="615">
        <f t="shared" si="5"/>
        <v>312.09329166666663</v>
      </c>
      <c r="O84" s="616">
        <f t="shared" ca="1" si="6"/>
        <v>35</v>
      </c>
      <c r="P84" s="873">
        <f t="shared" ca="1" si="7"/>
        <v>4057.2127916666668</v>
      </c>
      <c r="Q84" s="612" t="s">
        <v>4570</v>
      </c>
    </row>
    <row r="85" spans="2:17" ht="45" x14ac:dyDescent="0.25">
      <c r="B85" s="611">
        <v>44797</v>
      </c>
      <c r="C85" s="611">
        <v>44797</v>
      </c>
      <c r="D85" s="612" t="s">
        <v>4566</v>
      </c>
      <c r="E85" s="613" t="s">
        <v>4646</v>
      </c>
      <c r="F85" s="613" t="s">
        <v>4647</v>
      </c>
      <c r="G85" s="612" t="s">
        <v>18</v>
      </c>
      <c r="H85" s="613" t="s">
        <v>6019</v>
      </c>
      <c r="I85" s="613" t="s">
        <v>4569</v>
      </c>
      <c r="J85" s="614">
        <v>25084.44</v>
      </c>
      <c r="K85" s="614">
        <v>53.31</v>
      </c>
      <c r="L85" s="873">
        <f t="shared" si="4"/>
        <v>470.53911086100163</v>
      </c>
      <c r="M85" s="612">
        <v>48</v>
      </c>
      <c r="N85" s="615">
        <f t="shared" si="5"/>
        <v>522.59249999999997</v>
      </c>
      <c r="O85" s="616">
        <f t="shared" ca="1" si="6"/>
        <v>35</v>
      </c>
      <c r="P85" s="873">
        <f t="shared" ca="1" si="7"/>
        <v>6793.7024999999994</v>
      </c>
      <c r="Q85" s="612" t="s">
        <v>4570</v>
      </c>
    </row>
    <row r="86" spans="2:17" ht="45" x14ac:dyDescent="0.25">
      <c r="B86" s="611">
        <v>44797</v>
      </c>
      <c r="C86" s="611">
        <v>44797</v>
      </c>
      <c r="D86" s="612" t="s">
        <v>4566</v>
      </c>
      <c r="E86" s="613" t="s">
        <v>4648</v>
      </c>
      <c r="F86" s="613" t="s">
        <v>4647</v>
      </c>
      <c r="G86" s="612" t="s">
        <v>18</v>
      </c>
      <c r="H86" s="613" t="s">
        <v>6019</v>
      </c>
      <c r="I86" s="613" t="s">
        <v>4569</v>
      </c>
      <c r="J86" s="614">
        <v>25084.44</v>
      </c>
      <c r="K86" s="614">
        <v>53.31</v>
      </c>
      <c r="L86" s="873">
        <f t="shared" si="4"/>
        <v>470.53911086100163</v>
      </c>
      <c r="M86" s="612">
        <v>48</v>
      </c>
      <c r="N86" s="615">
        <f t="shared" si="5"/>
        <v>522.59249999999997</v>
      </c>
      <c r="O86" s="616">
        <f t="shared" ca="1" si="6"/>
        <v>35</v>
      </c>
      <c r="P86" s="873">
        <f t="shared" ca="1" si="7"/>
        <v>6793.7024999999994</v>
      </c>
      <c r="Q86" s="612" t="s">
        <v>4570</v>
      </c>
    </row>
    <row r="87" spans="2:17" ht="60" customHeight="1" x14ac:dyDescent="0.25">
      <c r="B87" s="611">
        <v>44797</v>
      </c>
      <c r="C87" s="611">
        <v>44797</v>
      </c>
      <c r="D87" s="612" t="s">
        <v>4566</v>
      </c>
      <c r="E87" s="613" t="s">
        <v>4649</v>
      </c>
      <c r="F87" s="613" t="s">
        <v>4650</v>
      </c>
      <c r="G87" s="612" t="s">
        <v>18</v>
      </c>
      <c r="H87" s="613" t="s">
        <v>6019</v>
      </c>
      <c r="I87" s="613" t="s">
        <v>4569</v>
      </c>
      <c r="J87" s="614">
        <v>10997.9</v>
      </c>
      <c r="K87" s="614">
        <v>53.31</v>
      </c>
      <c r="L87" s="873">
        <f t="shared" si="4"/>
        <v>206.3008816357156</v>
      </c>
      <c r="M87" s="612">
        <v>48</v>
      </c>
      <c r="N87" s="615">
        <f t="shared" si="5"/>
        <v>229.12291666666667</v>
      </c>
      <c r="O87" s="616">
        <f t="shared" ca="1" si="6"/>
        <v>35</v>
      </c>
      <c r="P87" s="873">
        <f t="shared" ca="1" si="7"/>
        <v>2978.5979166666666</v>
      </c>
      <c r="Q87" s="612" t="s">
        <v>4570</v>
      </c>
    </row>
    <row r="88" spans="2:17" ht="232.5" customHeight="1" x14ac:dyDescent="0.25">
      <c r="B88" s="611">
        <v>44862</v>
      </c>
      <c r="C88" s="611">
        <v>44862</v>
      </c>
      <c r="D88" s="612" t="s">
        <v>4651</v>
      </c>
      <c r="E88" s="613" t="s">
        <v>4652</v>
      </c>
      <c r="F88" s="617" t="s">
        <v>4653</v>
      </c>
      <c r="G88" s="613" t="s">
        <v>4654</v>
      </c>
      <c r="H88" s="613" t="s">
        <v>6019</v>
      </c>
      <c r="I88" s="613" t="s">
        <v>4569</v>
      </c>
      <c r="J88" s="614">
        <v>11253429.800000001</v>
      </c>
      <c r="K88" s="614">
        <v>57.25</v>
      </c>
      <c r="L88" s="873">
        <f t="shared" si="4"/>
        <v>196566.4593886463</v>
      </c>
      <c r="M88" s="612">
        <v>60</v>
      </c>
      <c r="N88" s="615">
        <f t="shared" si="5"/>
        <v>187557.16333333336</v>
      </c>
      <c r="O88" s="616">
        <f t="shared" ca="1" si="6"/>
        <v>33</v>
      </c>
      <c r="P88" s="873">
        <f t="shared" ca="1" si="7"/>
        <v>5064043.41</v>
      </c>
      <c r="Q88" s="613" t="s">
        <v>4655</v>
      </c>
    </row>
    <row r="89" spans="2:17" ht="105" customHeight="1" x14ac:dyDescent="0.25">
      <c r="B89" s="611">
        <v>44883</v>
      </c>
      <c r="C89" s="611">
        <v>44883</v>
      </c>
      <c r="D89" s="612" t="s">
        <v>4656</v>
      </c>
      <c r="E89" s="613" t="s">
        <v>18</v>
      </c>
      <c r="F89" s="613" t="s">
        <v>4657</v>
      </c>
      <c r="G89" s="612" t="s">
        <v>18</v>
      </c>
      <c r="H89" s="613" t="s">
        <v>6019</v>
      </c>
      <c r="I89" s="613" t="s">
        <v>4569</v>
      </c>
      <c r="J89" s="614">
        <v>22551.78</v>
      </c>
      <c r="K89" s="614">
        <v>54.369</v>
      </c>
      <c r="L89" s="873">
        <f t="shared" si="4"/>
        <v>414.79114936820611</v>
      </c>
      <c r="M89" s="612">
        <v>48</v>
      </c>
      <c r="N89" s="615">
        <f t="shared" si="5"/>
        <v>469.82874999999996</v>
      </c>
      <c r="O89" s="616">
        <f t="shared" ca="1" si="6"/>
        <v>32</v>
      </c>
      <c r="P89" s="873">
        <f t="shared" ca="1" si="7"/>
        <v>7517.26</v>
      </c>
      <c r="Q89" s="613" t="s">
        <v>4655</v>
      </c>
    </row>
    <row r="90" spans="2:17" ht="90" customHeight="1" x14ac:dyDescent="0.25">
      <c r="B90" s="611">
        <v>44889</v>
      </c>
      <c r="C90" s="611">
        <v>44889</v>
      </c>
      <c r="D90" s="612" t="s">
        <v>4658</v>
      </c>
      <c r="E90" s="632" t="s">
        <v>4659</v>
      </c>
      <c r="F90" s="613" t="s">
        <v>4660</v>
      </c>
      <c r="G90" s="612" t="s">
        <v>4661</v>
      </c>
      <c r="H90" s="613" t="s">
        <v>3856</v>
      </c>
      <c r="I90" s="612" t="s">
        <v>4662</v>
      </c>
      <c r="J90" s="614">
        <v>21823.26</v>
      </c>
      <c r="K90" s="614">
        <v>54.38</v>
      </c>
      <c r="L90" s="873">
        <f t="shared" si="4"/>
        <v>401.31040823832285</v>
      </c>
      <c r="M90" s="612">
        <v>60</v>
      </c>
      <c r="N90" s="615">
        <f t="shared" si="5"/>
        <v>363.72099999999995</v>
      </c>
      <c r="O90" s="616">
        <f t="shared" ca="1" si="6"/>
        <v>32</v>
      </c>
      <c r="P90" s="873">
        <f t="shared" ca="1" si="7"/>
        <v>10184.188</v>
      </c>
      <c r="Q90" s="612" t="s">
        <v>4663</v>
      </c>
    </row>
    <row r="91" spans="2:17" ht="90" customHeight="1" x14ac:dyDescent="0.25">
      <c r="B91" s="611">
        <v>44889</v>
      </c>
      <c r="C91" s="611">
        <v>44889</v>
      </c>
      <c r="D91" s="612" t="s">
        <v>4658</v>
      </c>
      <c r="E91" s="632" t="s">
        <v>4664</v>
      </c>
      <c r="F91" s="613" t="s">
        <v>4660</v>
      </c>
      <c r="G91" s="612" t="s">
        <v>4665</v>
      </c>
      <c r="H91" s="613" t="s">
        <v>3856</v>
      </c>
      <c r="I91" s="612" t="s">
        <v>4662</v>
      </c>
      <c r="J91" s="614">
        <v>21823</v>
      </c>
      <c r="K91" s="614">
        <v>54.38</v>
      </c>
      <c r="L91" s="873">
        <f t="shared" si="4"/>
        <v>401.30562706877527</v>
      </c>
      <c r="M91" s="612">
        <v>60</v>
      </c>
      <c r="N91" s="615">
        <f t="shared" si="5"/>
        <v>363.71666666666664</v>
      </c>
      <c r="O91" s="616">
        <f t="shared" ca="1" si="6"/>
        <v>32</v>
      </c>
      <c r="P91" s="873">
        <f t="shared" ca="1" si="7"/>
        <v>10184.066666666668</v>
      </c>
      <c r="Q91" s="612" t="s">
        <v>4663</v>
      </c>
    </row>
    <row r="92" spans="2:17" ht="90" customHeight="1" x14ac:dyDescent="0.25">
      <c r="B92" s="611">
        <v>44889</v>
      </c>
      <c r="C92" s="611">
        <v>44889</v>
      </c>
      <c r="D92" s="612" t="s">
        <v>4658</v>
      </c>
      <c r="E92" s="632" t="s">
        <v>4666</v>
      </c>
      <c r="F92" s="613" t="s">
        <v>4660</v>
      </c>
      <c r="G92" s="612" t="s">
        <v>4667</v>
      </c>
      <c r="H92" s="613" t="s">
        <v>3856</v>
      </c>
      <c r="I92" s="612" t="s">
        <v>4662</v>
      </c>
      <c r="J92" s="614">
        <v>21823</v>
      </c>
      <c r="K92" s="614">
        <v>54.38</v>
      </c>
      <c r="L92" s="873">
        <f t="shared" si="4"/>
        <v>401.30562706877527</v>
      </c>
      <c r="M92" s="612">
        <v>60</v>
      </c>
      <c r="N92" s="615">
        <f t="shared" si="5"/>
        <v>363.71666666666664</v>
      </c>
      <c r="O92" s="616">
        <f t="shared" ca="1" si="6"/>
        <v>32</v>
      </c>
      <c r="P92" s="873">
        <f t="shared" ca="1" si="7"/>
        <v>10184.066666666668</v>
      </c>
      <c r="Q92" s="612" t="s">
        <v>4663</v>
      </c>
    </row>
    <row r="93" spans="2:17" ht="90" customHeight="1" x14ac:dyDescent="0.25">
      <c r="B93" s="611">
        <v>44889</v>
      </c>
      <c r="C93" s="611">
        <v>44889</v>
      </c>
      <c r="D93" s="612" t="s">
        <v>4658</v>
      </c>
      <c r="E93" s="632" t="s">
        <v>4668</v>
      </c>
      <c r="F93" s="613" t="s">
        <v>4660</v>
      </c>
      <c r="G93" s="612" t="s">
        <v>4669</v>
      </c>
      <c r="H93" s="613" t="s">
        <v>3856</v>
      </c>
      <c r="I93" s="612" t="s">
        <v>4662</v>
      </c>
      <c r="J93" s="614">
        <v>21823</v>
      </c>
      <c r="K93" s="614">
        <v>54.38</v>
      </c>
      <c r="L93" s="873">
        <f t="shared" si="4"/>
        <v>401.30562706877527</v>
      </c>
      <c r="M93" s="612">
        <v>60</v>
      </c>
      <c r="N93" s="615">
        <f t="shared" si="5"/>
        <v>363.71666666666664</v>
      </c>
      <c r="O93" s="616">
        <f t="shared" ca="1" si="6"/>
        <v>32</v>
      </c>
      <c r="P93" s="873">
        <f t="shared" ca="1" si="7"/>
        <v>10184.066666666668</v>
      </c>
      <c r="Q93" s="612" t="s">
        <v>4663</v>
      </c>
    </row>
    <row r="94" spans="2:17" ht="90" customHeight="1" x14ac:dyDescent="0.25">
      <c r="B94" s="611">
        <v>44889</v>
      </c>
      <c r="C94" s="611">
        <v>44889</v>
      </c>
      <c r="D94" s="612" t="s">
        <v>4658</v>
      </c>
      <c r="E94" s="632" t="s">
        <v>4670</v>
      </c>
      <c r="F94" s="613" t="s">
        <v>4660</v>
      </c>
      <c r="G94" s="612" t="s">
        <v>4671</v>
      </c>
      <c r="H94" s="613" t="s">
        <v>3856</v>
      </c>
      <c r="I94" s="612" t="s">
        <v>4662</v>
      </c>
      <c r="J94" s="614">
        <v>21823</v>
      </c>
      <c r="K94" s="614">
        <v>54.38</v>
      </c>
      <c r="L94" s="873">
        <f t="shared" si="4"/>
        <v>401.30562706877527</v>
      </c>
      <c r="M94" s="612">
        <v>60</v>
      </c>
      <c r="N94" s="615">
        <f t="shared" si="5"/>
        <v>363.71666666666664</v>
      </c>
      <c r="O94" s="616">
        <f t="shared" ca="1" si="6"/>
        <v>32</v>
      </c>
      <c r="P94" s="873">
        <f t="shared" ca="1" si="7"/>
        <v>10184.066666666668</v>
      </c>
      <c r="Q94" s="612" t="s">
        <v>4663</v>
      </c>
    </row>
    <row r="95" spans="2:17" ht="90" customHeight="1" x14ac:dyDescent="0.25">
      <c r="B95" s="611">
        <v>44889</v>
      </c>
      <c r="C95" s="611">
        <v>44889</v>
      </c>
      <c r="D95" s="612" t="s">
        <v>4658</v>
      </c>
      <c r="E95" s="632" t="s">
        <v>4672</v>
      </c>
      <c r="F95" s="613" t="s">
        <v>4660</v>
      </c>
      <c r="G95" s="612" t="s">
        <v>4673</v>
      </c>
      <c r="H95" s="613" t="s">
        <v>3856</v>
      </c>
      <c r="I95" s="612" t="s">
        <v>4662</v>
      </c>
      <c r="J95" s="614">
        <v>21823</v>
      </c>
      <c r="K95" s="614">
        <v>54.38</v>
      </c>
      <c r="L95" s="873">
        <f t="shared" si="4"/>
        <v>401.30562706877527</v>
      </c>
      <c r="M95" s="612">
        <v>60</v>
      </c>
      <c r="N95" s="615">
        <f t="shared" si="5"/>
        <v>363.71666666666664</v>
      </c>
      <c r="O95" s="616">
        <f t="shared" ca="1" si="6"/>
        <v>32</v>
      </c>
      <c r="P95" s="873">
        <f t="shared" ca="1" si="7"/>
        <v>10184.066666666668</v>
      </c>
      <c r="Q95" s="612" t="s">
        <v>4663</v>
      </c>
    </row>
    <row r="96" spans="2:17" ht="90" customHeight="1" x14ac:dyDescent="0.25">
      <c r="B96" s="611">
        <v>44889</v>
      </c>
      <c r="C96" s="611">
        <v>44889</v>
      </c>
      <c r="D96" s="612" t="s">
        <v>4658</v>
      </c>
      <c r="E96" s="632" t="s">
        <v>4674</v>
      </c>
      <c r="F96" s="613" t="s">
        <v>4660</v>
      </c>
      <c r="G96" s="612" t="s">
        <v>4675</v>
      </c>
      <c r="H96" s="613" t="s">
        <v>3856</v>
      </c>
      <c r="I96" s="612" t="s">
        <v>4662</v>
      </c>
      <c r="J96" s="614">
        <v>21823</v>
      </c>
      <c r="K96" s="614">
        <v>54.38</v>
      </c>
      <c r="L96" s="873">
        <f t="shared" si="4"/>
        <v>401.30562706877527</v>
      </c>
      <c r="M96" s="612">
        <v>60</v>
      </c>
      <c r="N96" s="615">
        <f t="shared" si="5"/>
        <v>363.71666666666664</v>
      </c>
      <c r="O96" s="616">
        <f t="shared" ca="1" si="6"/>
        <v>32</v>
      </c>
      <c r="P96" s="873">
        <f t="shared" ca="1" si="7"/>
        <v>10184.066666666668</v>
      </c>
      <c r="Q96" s="612" t="s">
        <v>4663</v>
      </c>
    </row>
    <row r="97" spans="2:17" ht="90" customHeight="1" x14ac:dyDescent="0.25">
      <c r="B97" s="611">
        <v>44889</v>
      </c>
      <c r="C97" s="611">
        <v>44889</v>
      </c>
      <c r="D97" s="612" t="s">
        <v>4658</v>
      </c>
      <c r="E97" s="632" t="s">
        <v>4676</v>
      </c>
      <c r="F97" s="613" t="s">
        <v>4660</v>
      </c>
      <c r="G97" s="612" t="s">
        <v>4677</v>
      </c>
      <c r="H97" s="613" t="s">
        <v>3856</v>
      </c>
      <c r="I97" s="612" t="s">
        <v>4662</v>
      </c>
      <c r="J97" s="614">
        <v>21823</v>
      </c>
      <c r="K97" s="614">
        <v>54.38</v>
      </c>
      <c r="L97" s="873">
        <f t="shared" si="4"/>
        <v>401.30562706877527</v>
      </c>
      <c r="M97" s="612">
        <v>60</v>
      </c>
      <c r="N97" s="615">
        <f t="shared" si="5"/>
        <v>363.71666666666664</v>
      </c>
      <c r="O97" s="616">
        <f t="shared" ca="1" si="6"/>
        <v>32</v>
      </c>
      <c r="P97" s="873">
        <f t="shared" ca="1" si="7"/>
        <v>10184.066666666668</v>
      </c>
      <c r="Q97" s="612" t="s">
        <v>4663</v>
      </c>
    </row>
    <row r="98" spans="2:17" ht="90" customHeight="1" x14ac:dyDescent="0.25">
      <c r="B98" s="611">
        <v>44889</v>
      </c>
      <c r="C98" s="611">
        <v>44889</v>
      </c>
      <c r="D98" s="612" t="s">
        <v>4658</v>
      </c>
      <c r="E98" s="632" t="s">
        <v>4678</v>
      </c>
      <c r="F98" s="613" t="s">
        <v>4660</v>
      </c>
      <c r="G98" s="612" t="s">
        <v>4679</v>
      </c>
      <c r="H98" s="613" t="s">
        <v>3856</v>
      </c>
      <c r="I98" s="612" t="s">
        <v>4662</v>
      </c>
      <c r="J98" s="614">
        <v>21823</v>
      </c>
      <c r="K98" s="614">
        <v>54.38</v>
      </c>
      <c r="L98" s="873">
        <f t="shared" si="4"/>
        <v>401.30562706877527</v>
      </c>
      <c r="M98" s="612">
        <v>60</v>
      </c>
      <c r="N98" s="615">
        <f t="shared" si="5"/>
        <v>363.71666666666664</v>
      </c>
      <c r="O98" s="616">
        <f t="shared" ca="1" si="6"/>
        <v>32</v>
      </c>
      <c r="P98" s="873">
        <f t="shared" ca="1" si="7"/>
        <v>10184.066666666668</v>
      </c>
      <c r="Q98" s="612" t="s">
        <v>4663</v>
      </c>
    </row>
    <row r="99" spans="2:17" ht="90" customHeight="1" x14ac:dyDescent="0.25">
      <c r="B99" s="611">
        <v>44889</v>
      </c>
      <c r="C99" s="611">
        <v>44889</v>
      </c>
      <c r="D99" s="612" t="s">
        <v>4658</v>
      </c>
      <c r="E99" s="632" t="s">
        <v>4680</v>
      </c>
      <c r="F99" s="613" t="s">
        <v>4660</v>
      </c>
      <c r="G99" s="612" t="s">
        <v>4681</v>
      </c>
      <c r="H99" s="613" t="s">
        <v>3856</v>
      </c>
      <c r="I99" s="612" t="s">
        <v>4662</v>
      </c>
      <c r="J99" s="614">
        <v>21823</v>
      </c>
      <c r="K99" s="614">
        <v>54.38</v>
      </c>
      <c r="L99" s="873">
        <f t="shared" si="4"/>
        <v>401.30562706877527</v>
      </c>
      <c r="M99" s="612">
        <v>60</v>
      </c>
      <c r="N99" s="615">
        <f t="shared" si="5"/>
        <v>363.71666666666664</v>
      </c>
      <c r="O99" s="616">
        <f t="shared" ca="1" si="6"/>
        <v>32</v>
      </c>
      <c r="P99" s="873">
        <f t="shared" ca="1" si="7"/>
        <v>10184.066666666668</v>
      </c>
      <c r="Q99" s="612" t="s">
        <v>4663</v>
      </c>
    </row>
    <row r="100" spans="2:17" ht="90" customHeight="1" x14ac:dyDescent="0.25">
      <c r="B100" s="611">
        <v>44889</v>
      </c>
      <c r="C100" s="611">
        <v>44889</v>
      </c>
      <c r="D100" s="612" t="s">
        <v>4658</v>
      </c>
      <c r="E100" s="632" t="s">
        <v>4682</v>
      </c>
      <c r="F100" s="613" t="s">
        <v>4660</v>
      </c>
      <c r="G100" s="612" t="s">
        <v>4679</v>
      </c>
      <c r="H100" s="613" t="s">
        <v>3856</v>
      </c>
      <c r="I100" s="612" t="s">
        <v>4662</v>
      </c>
      <c r="J100" s="614">
        <v>21823</v>
      </c>
      <c r="K100" s="614">
        <v>54.38</v>
      </c>
      <c r="L100" s="873">
        <f t="shared" si="4"/>
        <v>401.30562706877527</v>
      </c>
      <c r="M100" s="612">
        <v>60</v>
      </c>
      <c r="N100" s="615">
        <f t="shared" si="5"/>
        <v>363.71666666666664</v>
      </c>
      <c r="O100" s="616">
        <f t="shared" ca="1" si="6"/>
        <v>32</v>
      </c>
      <c r="P100" s="873">
        <f t="shared" ca="1" si="7"/>
        <v>10184.066666666668</v>
      </c>
      <c r="Q100" s="612" t="s">
        <v>4663</v>
      </c>
    </row>
    <row r="101" spans="2:17" ht="90" customHeight="1" x14ac:dyDescent="0.25">
      <c r="B101" s="611">
        <v>44889</v>
      </c>
      <c r="C101" s="611">
        <v>44889</v>
      </c>
      <c r="D101" s="612" t="s">
        <v>4658</v>
      </c>
      <c r="E101" s="632" t="s">
        <v>4683</v>
      </c>
      <c r="F101" s="613" t="s">
        <v>4660</v>
      </c>
      <c r="G101" s="612" t="s">
        <v>4684</v>
      </c>
      <c r="H101" s="613" t="s">
        <v>3856</v>
      </c>
      <c r="I101" s="612" t="s">
        <v>4662</v>
      </c>
      <c r="J101" s="614">
        <v>21823</v>
      </c>
      <c r="K101" s="614">
        <v>54.38</v>
      </c>
      <c r="L101" s="873">
        <f t="shared" si="4"/>
        <v>401.30562706877527</v>
      </c>
      <c r="M101" s="612">
        <v>60</v>
      </c>
      <c r="N101" s="615">
        <f t="shared" si="5"/>
        <v>363.71666666666664</v>
      </c>
      <c r="O101" s="616">
        <f t="shared" ca="1" si="6"/>
        <v>32</v>
      </c>
      <c r="P101" s="873">
        <f t="shared" ca="1" si="7"/>
        <v>10184.066666666668</v>
      </c>
      <c r="Q101" s="612" t="s">
        <v>4663</v>
      </c>
    </row>
    <row r="102" spans="2:17" ht="90" customHeight="1" x14ac:dyDescent="0.25">
      <c r="B102" s="611">
        <v>44889</v>
      </c>
      <c r="C102" s="611">
        <v>44889</v>
      </c>
      <c r="D102" s="612" t="s">
        <v>4658</v>
      </c>
      <c r="E102" s="632" t="s">
        <v>4685</v>
      </c>
      <c r="F102" s="613" t="s">
        <v>4660</v>
      </c>
      <c r="G102" s="612" t="s">
        <v>4686</v>
      </c>
      <c r="H102" s="613" t="s">
        <v>3856</v>
      </c>
      <c r="I102" s="612" t="s">
        <v>4662</v>
      </c>
      <c r="J102" s="614">
        <v>21823</v>
      </c>
      <c r="K102" s="614">
        <v>54.38</v>
      </c>
      <c r="L102" s="873">
        <f t="shared" si="4"/>
        <v>401.30562706877527</v>
      </c>
      <c r="M102" s="612">
        <v>60</v>
      </c>
      <c r="N102" s="615">
        <f t="shared" si="5"/>
        <v>363.71666666666664</v>
      </c>
      <c r="O102" s="616">
        <f t="shared" ca="1" si="6"/>
        <v>32</v>
      </c>
      <c r="P102" s="873">
        <f t="shared" ca="1" si="7"/>
        <v>10184.066666666668</v>
      </c>
      <c r="Q102" s="612" t="s">
        <v>4663</v>
      </c>
    </row>
    <row r="103" spans="2:17" ht="90" customHeight="1" x14ac:dyDescent="0.25">
      <c r="B103" s="611">
        <v>44889</v>
      </c>
      <c r="C103" s="611">
        <v>44889</v>
      </c>
      <c r="D103" s="612" t="s">
        <v>4658</v>
      </c>
      <c r="E103" s="632" t="s">
        <v>4687</v>
      </c>
      <c r="F103" s="613" t="s">
        <v>4660</v>
      </c>
      <c r="G103" s="612" t="s">
        <v>4688</v>
      </c>
      <c r="H103" s="613" t="s">
        <v>3856</v>
      </c>
      <c r="I103" s="612" t="s">
        <v>4662</v>
      </c>
      <c r="J103" s="614">
        <v>21823</v>
      </c>
      <c r="K103" s="614">
        <v>54.38</v>
      </c>
      <c r="L103" s="873">
        <f t="shared" si="4"/>
        <v>401.30562706877527</v>
      </c>
      <c r="M103" s="612">
        <v>60</v>
      </c>
      <c r="N103" s="615">
        <f t="shared" si="5"/>
        <v>363.71666666666664</v>
      </c>
      <c r="O103" s="616">
        <f t="shared" ca="1" si="6"/>
        <v>32</v>
      </c>
      <c r="P103" s="873">
        <f t="shared" ca="1" si="7"/>
        <v>10184.066666666668</v>
      </c>
      <c r="Q103" s="612" t="s">
        <v>4663</v>
      </c>
    </row>
    <row r="104" spans="2:17" ht="90" customHeight="1" x14ac:dyDescent="0.25">
      <c r="B104" s="611">
        <v>44889</v>
      </c>
      <c r="C104" s="611">
        <v>44889</v>
      </c>
      <c r="D104" s="612" t="s">
        <v>4658</v>
      </c>
      <c r="E104" s="632" t="s">
        <v>4689</v>
      </c>
      <c r="F104" s="613" t="s">
        <v>4660</v>
      </c>
      <c r="G104" s="612" t="s">
        <v>4690</v>
      </c>
      <c r="H104" s="613" t="s">
        <v>3856</v>
      </c>
      <c r="I104" s="612" t="s">
        <v>4662</v>
      </c>
      <c r="J104" s="614">
        <v>21823</v>
      </c>
      <c r="K104" s="614">
        <v>54.38</v>
      </c>
      <c r="L104" s="873">
        <f t="shared" si="4"/>
        <v>401.30562706877527</v>
      </c>
      <c r="M104" s="612">
        <v>60</v>
      </c>
      <c r="N104" s="615">
        <f t="shared" si="5"/>
        <v>363.71666666666664</v>
      </c>
      <c r="O104" s="616">
        <f t="shared" ca="1" si="6"/>
        <v>32</v>
      </c>
      <c r="P104" s="873">
        <f t="shared" ca="1" si="7"/>
        <v>10184.066666666668</v>
      </c>
      <c r="Q104" s="612" t="s">
        <v>4663</v>
      </c>
    </row>
    <row r="105" spans="2:17" ht="90" customHeight="1" x14ac:dyDescent="0.25">
      <c r="B105" s="611">
        <v>44889</v>
      </c>
      <c r="C105" s="611">
        <v>44889</v>
      </c>
      <c r="D105" s="612" t="s">
        <v>4658</v>
      </c>
      <c r="E105" s="632" t="s">
        <v>4691</v>
      </c>
      <c r="F105" s="613" t="s">
        <v>4660</v>
      </c>
      <c r="G105" s="612" t="s">
        <v>4692</v>
      </c>
      <c r="H105" s="613" t="s">
        <v>3856</v>
      </c>
      <c r="I105" s="612" t="s">
        <v>4662</v>
      </c>
      <c r="J105" s="614">
        <v>21823</v>
      </c>
      <c r="K105" s="614">
        <v>54.38</v>
      </c>
      <c r="L105" s="873">
        <f t="shared" si="4"/>
        <v>401.30562706877527</v>
      </c>
      <c r="M105" s="612">
        <v>60</v>
      </c>
      <c r="N105" s="615">
        <f t="shared" si="5"/>
        <v>363.71666666666664</v>
      </c>
      <c r="O105" s="616">
        <f t="shared" ca="1" si="6"/>
        <v>32</v>
      </c>
      <c r="P105" s="873">
        <f t="shared" ca="1" si="7"/>
        <v>10184.066666666668</v>
      </c>
      <c r="Q105" s="612" t="s">
        <v>4663</v>
      </c>
    </row>
    <row r="106" spans="2:17" ht="90" customHeight="1" x14ac:dyDescent="0.25">
      <c r="B106" s="611">
        <v>44889</v>
      </c>
      <c r="C106" s="611">
        <v>44889</v>
      </c>
      <c r="D106" s="612" t="s">
        <v>4658</v>
      </c>
      <c r="E106" s="632" t="s">
        <v>4693</v>
      </c>
      <c r="F106" s="613" t="s">
        <v>4660</v>
      </c>
      <c r="G106" s="612" t="s">
        <v>4694</v>
      </c>
      <c r="H106" s="613" t="s">
        <v>3856</v>
      </c>
      <c r="I106" s="612" t="s">
        <v>4662</v>
      </c>
      <c r="J106" s="614">
        <v>21823</v>
      </c>
      <c r="K106" s="614">
        <v>54.38</v>
      </c>
      <c r="L106" s="873">
        <f t="shared" si="4"/>
        <v>401.30562706877527</v>
      </c>
      <c r="M106" s="612">
        <v>60</v>
      </c>
      <c r="N106" s="615">
        <f t="shared" si="5"/>
        <v>363.71666666666664</v>
      </c>
      <c r="O106" s="616">
        <f t="shared" ca="1" si="6"/>
        <v>32</v>
      </c>
      <c r="P106" s="873">
        <f t="shared" ca="1" si="7"/>
        <v>10184.066666666668</v>
      </c>
      <c r="Q106" s="612" t="s">
        <v>4663</v>
      </c>
    </row>
    <row r="107" spans="2:17" ht="90" customHeight="1" x14ac:dyDescent="0.25">
      <c r="B107" s="611">
        <v>44889</v>
      </c>
      <c r="C107" s="611">
        <v>44889</v>
      </c>
      <c r="D107" s="612" t="s">
        <v>4658</v>
      </c>
      <c r="E107" s="632" t="s">
        <v>4695</v>
      </c>
      <c r="F107" s="613" t="s">
        <v>4660</v>
      </c>
      <c r="G107" s="612" t="s">
        <v>4696</v>
      </c>
      <c r="H107" s="613" t="s">
        <v>3856</v>
      </c>
      <c r="I107" s="612" t="s">
        <v>4662</v>
      </c>
      <c r="J107" s="614">
        <v>21823</v>
      </c>
      <c r="K107" s="614">
        <v>54.38</v>
      </c>
      <c r="L107" s="873">
        <f t="shared" si="4"/>
        <v>401.30562706877527</v>
      </c>
      <c r="M107" s="612">
        <v>60</v>
      </c>
      <c r="N107" s="615">
        <f t="shared" si="5"/>
        <v>363.71666666666664</v>
      </c>
      <c r="O107" s="616">
        <f t="shared" ca="1" si="6"/>
        <v>32</v>
      </c>
      <c r="P107" s="873">
        <f t="shared" ca="1" si="7"/>
        <v>10184.066666666668</v>
      </c>
      <c r="Q107" s="612" t="s">
        <v>4663</v>
      </c>
    </row>
    <row r="108" spans="2:17" ht="90" customHeight="1" x14ac:dyDescent="0.25">
      <c r="B108" s="611">
        <v>44889</v>
      </c>
      <c r="C108" s="611">
        <v>44889</v>
      </c>
      <c r="D108" s="612" t="s">
        <v>4658</v>
      </c>
      <c r="E108" s="632" t="s">
        <v>4697</v>
      </c>
      <c r="F108" s="613" t="s">
        <v>4660</v>
      </c>
      <c r="G108" s="612" t="s">
        <v>4698</v>
      </c>
      <c r="H108" s="613" t="s">
        <v>3856</v>
      </c>
      <c r="I108" s="612" t="s">
        <v>4662</v>
      </c>
      <c r="J108" s="614">
        <v>21823</v>
      </c>
      <c r="K108" s="614">
        <v>54.38</v>
      </c>
      <c r="L108" s="873">
        <f t="shared" si="4"/>
        <v>401.30562706877527</v>
      </c>
      <c r="M108" s="612">
        <v>60</v>
      </c>
      <c r="N108" s="615">
        <f t="shared" si="5"/>
        <v>363.71666666666664</v>
      </c>
      <c r="O108" s="616">
        <f t="shared" ca="1" si="6"/>
        <v>32</v>
      </c>
      <c r="P108" s="873">
        <f t="shared" ca="1" si="7"/>
        <v>10184.066666666668</v>
      </c>
      <c r="Q108" s="612" t="s">
        <v>4663</v>
      </c>
    </row>
    <row r="109" spans="2:17" ht="90" customHeight="1" x14ac:dyDescent="0.25">
      <c r="B109" s="611">
        <v>44889</v>
      </c>
      <c r="C109" s="611">
        <v>44889</v>
      </c>
      <c r="D109" s="612" t="s">
        <v>4658</v>
      </c>
      <c r="E109" s="632" t="s">
        <v>4699</v>
      </c>
      <c r="F109" s="613" t="s">
        <v>4660</v>
      </c>
      <c r="G109" s="612" t="s">
        <v>4700</v>
      </c>
      <c r="H109" s="613" t="s">
        <v>3856</v>
      </c>
      <c r="I109" s="612" t="s">
        <v>4662</v>
      </c>
      <c r="J109" s="614">
        <v>21823</v>
      </c>
      <c r="K109" s="614">
        <v>54.38</v>
      </c>
      <c r="L109" s="873">
        <f t="shared" si="4"/>
        <v>401.30562706877527</v>
      </c>
      <c r="M109" s="612">
        <v>60</v>
      </c>
      <c r="N109" s="615">
        <f t="shared" si="5"/>
        <v>363.71666666666664</v>
      </c>
      <c r="O109" s="616">
        <f t="shared" ca="1" si="6"/>
        <v>32</v>
      </c>
      <c r="P109" s="873">
        <f t="shared" ca="1" si="7"/>
        <v>10184.066666666668</v>
      </c>
      <c r="Q109" s="612" t="s">
        <v>4663</v>
      </c>
    </row>
    <row r="110" spans="2:17" ht="90" customHeight="1" x14ac:dyDescent="0.25">
      <c r="B110" s="611">
        <v>44889</v>
      </c>
      <c r="C110" s="611">
        <v>44889</v>
      </c>
      <c r="D110" s="612" t="s">
        <v>4658</v>
      </c>
      <c r="E110" s="632" t="s">
        <v>4701</v>
      </c>
      <c r="F110" s="613" t="s">
        <v>4660</v>
      </c>
      <c r="G110" s="612" t="s">
        <v>4702</v>
      </c>
      <c r="H110" s="613" t="s">
        <v>3856</v>
      </c>
      <c r="I110" s="612" t="s">
        <v>4662</v>
      </c>
      <c r="J110" s="614">
        <v>21823</v>
      </c>
      <c r="K110" s="614">
        <v>54.38</v>
      </c>
      <c r="L110" s="873">
        <f t="shared" si="4"/>
        <v>401.30562706877527</v>
      </c>
      <c r="M110" s="612">
        <v>60</v>
      </c>
      <c r="N110" s="615">
        <f t="shared" si="5"/>
        <v>363.71666666666664</v>
      </c>
      <c r="O110" s="616">
        <f t="shared" ca="1" si="6"/>
        <v>32</v>
      </c>
      <c r="P110" s="873">
        <f t="shared" ca="1" si="7"/>
        <v>10184.066666666668</v>
      </c>
      <c r="Q110" s="612" t="s">
        <v>4663</v>
      </c>
    </row>
    <row r="111" spans="2:17" ht="90" customHeight="1" x14ac:dyDescent="0.25">
      <c r="B111" s="611">
        <v>44889</v>
      </c>
      <c r="C111" s="611">
        <v>44889</v>
      </c>
      <c r="D111" s="612" t="s">
        <v>4658</v>
      </c>
      <c r="E111" s="632" t="s">
        <v>4703</v>
      </c>
      <c r="F111" s="613" t="s">
        <v>4660</v>
      </c>
      <c r="G111" s="612" t="s">
        <v>4704</v>
      </c>
      <c r="H111" s="613" t="s">
        <v>3856</v>
      </c>
      <c r="I111" s="612" t="s">
        <v>4662</v>
      </c>
      <c r="J111" s="614">
        <v>21823</v>
      </c>
      <c r="K111" s="614">
        <v>54.38</v>
      </c>
      <c r="L111" s="873">
        <f t="shared" si="4"/>
        <v>401.30562706877527</v>
      </c>
      <c r="M111" s="612">
        <v>60</v>
      </c>
      <c r="N111" s="615">
        <f t="shared" si="5"/>
        <v>363.71666666666664</v>
      </c>
      <c r="O111" s="616">
        <f t="shared" ca="1" si="6"/>
        <v>32</v>
      </c>
      <c r="P111" s="873">
        <f t="shared" ca="1" si="7"/>
        <v>10184.066666666668</v>
      </c>
      <c r="Q111" s="612" t="s">
        <v>4663</v>
      </c>
    </row>
    <row r="112" spans="2:17" ht="90" customHeight="1" x14ac:dyDescent="0.25">
      <c r="B112" s="611">
        <v>44889</v>
      </c>
      <c r="C112" s="611">
        <v>44889</v>
      </c>
      <c r="D112" s="612" t="s">
        <v>4658</v>
      </c>
      <c r="E112" s="632" t="s">
        <v>4705</v>
      </c>
      <c r="F112" s="613" t="s">
        <v>4660</v>
      </c>
      <c r="G112" s="612" t="s">
        <v>4706</v>
      </c>
      <c r="H112" s="613" t="s">
        <v>3856</v>
      </c>
      <c r="I112" s="612" t="s">
        <v>4662</v>
      </c>
      <c r="J112" s="614">
        <v>21823</v>
      </c>
      <c r="K112" s="614">
        <v>54.38</v>
      </c>
      <c r="L112" s="873">
        <f t="shared" si="4"/>
        <v>401.30562706877527</v>
      </c>
      <c r="M112" s="612">
        <v>60</v>
      </c>
      <c r="N112" s="615">
        <f t="shared" si="5"/>
        <v>363.71666666666664</v>
      </c>
      <c r="O112" s="616">
        <f t="shared" ca="1" si="6"/>
        <v>32</v>
      </c>
      <c r="P112" s="873">
        <f t="shared" ca="1" si="7"/>
        <v>10184.066666666668</v>
      </c>
      <c r="Q112" s="612" t="s">
        <v>4663</v>
      </c>
    </row>
    <row r="113" spans="2:17" ht="90" customHeight="1" x14ac:dyDescent="0.25">
      <c r="B113" s="611">
        <v>44889</v>
      </c>
      <c r="C113" s="611">
        <v>44889</v>
      </c>
      <c r="D113" s="612" t="s">
        <v>4658</v>
      </c>
      <c r="E113" s="632" t="s">
        <v>4707</v>
      </c>
      <c r="F113" s="613" t="s">
        <v>4660</v>
      </c>
      <c r="G113" s="612" t="s">
        <v>4708</v>
      </c>
      <c r="H113" s="613" t="s">
        <v>3856</v>
      </c>
      <c r="I113" s="612" t="s">
        <v>4662</v>
      </c>
      <c r="J113" s="614">
        <v>21823</v>
      </c>
      <c r="K113" s="614">
        <v>54.38</v>
      </c>
      <c r="L113" s="873">
        <f t="shared" si="4"/>
        <v>401.30562706877527</v>
      </c>
      <c r="M113" s="612">
        <v>60</v>
      </c>
      <c r="N113" s="615">
        <f t="shared" si="5"/>
        <v>363.71666666666664</v>
      </c>
      <c r="O113" s="616">
        <f t="shared" ca="1" si="6"/>
        <v>32</v>
      </c>
      <c r="P113" s="873">
        <f t="shared" ca="1" si="7"/>
        <v>10184.066666666668</v>
      </c>
      <c r="Q113" s="612" t="s">
        <v>4663</v>
      </c>
    </row>
    <row r="114" spans="2:17" ht="90" customHeight="1" x14ac:dyDescent="0.25">
      <c r="B114" s="611">
        <v>44889</v>
      </c>
      <c r="C114" s="611">
        <v>44889</v>
      </c>
      <c r="D114" s="612" t="s">
        <v>4658</v>
      </c>
      <c r="E114" s="632" t="s">
        <v>4709</v>
      </c>
      <c r="F114" s="613" t="s">
        <v>4660</v>
      </c>
      <c r="G114" s="612" t="s">
        <v>4710</v>
      </c>
      <c r="H114" s="613" t="s">
        <v>3856</v>
      </c>
      <c r="I114" s="612" t="s">
        <v>4662</v>
      </c>
      <c r="J114" s="614">
        <v>21823</v>
      </c>
      <c r="K114" s="614">
        <v>54.38</v>
      </c>
      <c r="L114" s="873">
        <f t="shared" si="4"/>
        <v>401.30562706877527</v>
      </c>
      <c r="M114" s="612">
        <v>60</v>
      </c>
      <c r="N114" s="615">
        <f t="shared" si="5"/>
        <v>363.71666666666664</v>
      </c>
      <c r="O114" s="616">
        <f t="shared" ca="1" si="6"/>
        <v>32</v>
      </c>
      <c r="P114" s="873">
        <f t="shared" ca="1" si="7"/>
        <v>10184.066666666668</v>
      </c>
      <c r="Q114" s="612" t="s">
        <v>4663</v>
      </c>
    </row>
    <row r="115" spans="2:17" ht="90" customHeight="1" x14ac:dyDescent="0.25">
      <c r="B115" s="611">
        <v>44889</v>
      </c>
      <c r="C115" s="611">
        <v>44889</v>
      </c>
      <c r="D115" s="612" t="s">
        <v>4658</v>
      </c>
      <c r="E115" s="632" t="s">
        <v>4711</v>
      </c>
      <c r="F115" s="613" t="s">
        <v>4660</v>
      </c>
      <c r="G115" s="612" t="s">
        <v>4712</v>
      </c>
      <c r="H115" s="613" t="s">
        <v>3856</v>
      </c>
      <c r="I115" s="612" t="s">
        <v>4662</v>
      </c>
      <c r="J115" s="614">
        <v>21823</v>
      </c>
      <c r="K115" s="614">
        <v>54.38</v>
      </c>
      <c r="L115" s="873">
        <f t="shared" si="4"/>
        <v>401.30562706877527</v>
      </c>
      <c r="M115" s="612">
        <v>60</v>
      </c>
      <c r="N115" s="615">
        <f t="shared" si="5"/>
        <v>363.71666666666664</v>
      </c>
      <c r="O115" s="616">
        <f t="shared" ca="1" si="6"/>
        <v>32</v>
      </c>
      <c r="P115" s="873">
        <f t="shared" ca="1" si="7"/>
        <v>10184.066666666668</v>
      </c>
      <c r="Q115" s="612" t="s">
        <v>4663</v>
      </c>
    </row>
    <row r="116" spans="2:17" ht="90" customHeight="1" x14ac:dyDescent="0.25">
      <c r="B116" s="611">
        <v>44889</v>
      </c>
      <c r="C116" s="611">
        <v>44889</v>
      </c>
      <c r="D116" s="612" t="s">
        <v>4658</v>
      </c>
      <c r="E116" s="632" t="s">
        <v>4713</v>
      </c>
      <c r="F116" s="613" t="s">
        <v>4660</v>
      </c>
      <c r="G116" s="612" t="s">
        <v>4714</v>
      </c>
      <c r="H116" s="613" t="s">
        <v>3856</v>
      </c>
      <c r="I116" s="612" t="s">
        <v>4662</v>
      </c>
      <c r="J116" s="614">
        <v>21823</v>
      </c>
      <c r="K116" s="614">
        <v>54.38</v>
      </c>
      <c r="L116" s="873">
        <f t="shared" si="4"/>
        <v>401.30562706877527</v>
      </c>
      <c r="M116" s="612">
        <v>60</v>
      </c>
      <c r="N116" s="615">
        <f t="shared" si="5"/>
        <v>363.71666666666664</v>
      </c>
      <c r="O116" s="616">
        <f t="shared" ca="1" si="6"/>
        <v>32</v>
      </c>
      <c r="P116" s="873">
        <f t="shared" ca="1" si="7"/>
        <v>10184.066666666668</v>
      </c>
      <c r="Q116" s="612" t="s">
        <v>4663</v>
      </c>
    </row>
    <row r="117" spans="2:17" ht="90" customHeight="1" x14ac:dyDescent="0.25">
      <c r="B117" s="611">
        <v>44889</v>
      </c>
      <c r="C117" s="611">
        <v>44889</v>
      </c>
      <c r="D117" s="612" t="s">
        <v>4658</v>
      </c>
      <c r="E117" s="632" t="s">
        <v>4715</v>
      </c>
      <c r="F117" s="613" t="s">
        <v>4660</v>
      </c>
      <c r="G117" s="612" t="s">
        <v>4716</v>
      </c>
      <c r="H117" s="613" t="s">
        <v>3856</v>
      </c>
      <c r="I117" s="612" t="s">
        <v>4662</v>
      </c>
      <c r="J117" s="614">
        <v>21823</v>
      </c>
      <c r="K117" s="614">
        <v>54.38</v>
      </c>
      <c r="L117" s="873">
        <f t="shared" si="4"/>
        <v>401.30562706877527</v>
      </c>
      <c r="M117" s="612">
        <v>60</v>
      </c>
      <c r="N117" s="615">
        <f t="shared" si="5"/>
        <v>363.71666666666664</v>
      </c>
      <c r="O117" s="616">
        <f t="shared" ca="1" si="6"/>
        <v>32</v>
      </c>
      <c r="P117" s="873">
        <f t="shared" ca="1" si="7"/>
        <v>10184.066666666668</v>
      </c>
      <c r="Q117" s="612" t="s">
        <v>4663</v>
      </c>
    </row>
    <row r="118" spans="2:17" ht="90" customHeight="1" x14ac:dyDescent="0.25">
      <c r="B118" s="611">
        <v>44889</v>
      </c>
      <c r="C118" s="611">
        <v>44889</v>
      </c>
      <c r="D118" s="612" t="s">
        <v>4658</v>
      </c>
      <c r="E118" s="632" t="s">
        <v>4717</v>
      </c>
      <c r="F118" s="613" t="s">
        <v>4660</v>
      </c>
      <c r="G118" s="612" t="s">
        <v>4718</v>
      </c>
      <c r="H118" s="613" t="s">
        <v>3856</v>
      </c>
      <c r="I118" s="612" t="s">
        <v>4662</v>
      </c>
      <c r="J118" s="614">
        <v>21823</v>
      </c>
      <c r="K118" s="614">
        <v>54.38</v>
      </c>
      <c r="L118" s="873">
        <f t="shared" si="4"/>
        <v>401.30562706877527</v>
      </c>
      <c r="M118" s="612">
        <v>60</v>
      </c>
      <c r="N118" s="615">
        <f t="shared" si="5"/>
        <v>363.71666666666664</v>
      </c>
      <c r="O118" s="616">
        <f t="shared" ca="1" si="6"/>
        <v>32</v>
      </c>
      <c r="P118" s="873">
        <f t="shared" ca="1" si="7"/>
        <v>10184.066666666668</v>
      </c>
      <c r="Q118" s="612" t="s">
        <v>4663</v>
      </c>
    </row>
    <row r="119" spans="2:17" ht="90" customHeight="1" x14ac:dyDescent="0.25">
      <c r="B119" s="611">
        <v>44889</v>
      </c>
      <c r="C119" s="611">
        <v>44889</v>
      </c>
      <c r="D119" s="612" t="s">
        <v>4658</v>
      </c>
      <c r="E119" s="632" t="s">
        <v>4719</v>
      </c>
      <c r="F119" s="613" t="s">
        <v>4660</v>
      </c>
      <c r="G119" s="612" t="s">
        <v>4720</v>
      </c>
      <c r="H119" s="613" t="s">
        <v>3856</v>
      </c>
      <c r="I119" s="612" t="s">
        <v>4662</v>
      </c>
      <c r="J119" s="614">
        <v>21823</v>
      </c>
      <c r="K119" s="614">
        <v>54.38</v>
      </c>
      <c r="L119" s="873">
        <f t="shared" si="4"/>
        <v>401.30562706877527</v>
      </c>
      <c r="M119" s="612">
        <v>60</v>
      </c>
      <c r="N119" s="615">
        <f t="shared" si="5"/>
        <v>363.71666666666664</v>
      </c>
      <c r="O119" s="616">
        <f t="shared" ca="1" si="6"/>
        <v>32</v>
      </c>
      <c r="P119" s="873">
        <f t="shared" ca="1" si="7"/>
        <v>10184.066666666668</v>
      </c>
      <c r="Q119" s="612" t="s">
        <v>4663</v>
      </c>
    </row>
    <row r="120" spans="2:17" ht="90" customHeight="1" x14ac:dyDescent="0.25">
      <c r="B120" s="611">
        <v>44889</v>
      </c>
      <c r="C120" s="611">
        <v>44889</v>
      </c>
      <c r="D120" s="612" t="s">
        <v>4658</v>
      </c>
      <c r="E120" s="632" t="s">
        <v>4721</v>
      </c>
      <c r="F120" s="613" t="s">
        <v>4660</v>
      </c>
      <c r="G120" s="612" t="s">
        <v>4722</v>
      </c>
      <c r="H120" s="613" t="s">
        <v>3856</v>
      </c>
      <c r="I120" s="612" t="s">
        <v>4662</v>
      </c>
      <c r="J120" s="614">
        <v>21823</v>
      </c>
      <c r="K120" s="614">
        <v>54.38</v>
      </c>
      <c r="L120" s="873">
        <f t="shared" si="4"/>
        <v>401.30562706877527</v>
      </c>
      <c r="M120" s="612">
        <v>60</v>
      </c>
      <c r="N120" s="615">
        <f t="shared" si="5"/>
        <v>363.71666666666664</v>
      </c>
      <c r="O120" s="616">
        <f t="shared" ca="1" si="6"/>
        <v>32</v>
      </c>
      <c r="P120" s="873">
        <f t="shared" ca="1" si="7"/>
        <v>10184.066666666668</v>
      </c>
      <c r="Q120" s="612" t="s">
        <v>4663</v>
      </c>
    </row>
    <row r="121" spans="2:17" ht="90" customHeight="1" x14ac:dyDescent="0.25">
      <c r="B121" s="611">
        <v>44889</v>
      </c>
      <c r="C121" s="611">
        <v>44889</v>
      </c>
      <c r="D121" s="612" t="s">
        <v>4658</v>
      </c>
      <c r="E121" s="632" t="s">
        <v>4723</v>
      </c>
      <c r="F121" s="613" t="s">
        <v>4660</v>
      </c>
      <c r="G121" s="612" t="s">
        <v>4724</v>
      </c>
      <c r="H121" s="613" t="s">
        <v>3856</v>
      </c>
      <c r="I121" s="612" t="s">
        <v>4662</v>
      </c>
      <c r="J121" s="614">
        <v>21823</v>
      </c>
      <c r="K121" s="614">
        <v>54.38</v>
      </c>
      <c r="L121" s="873">
        <f t="shared" si="4"/>
        <v>401.30562706877527</v>
      </c>
      <c r="M121" s="612">
        <v>60</v>
      </c>
      <c r="N121" s="615">
        <f t="shared" si="5"/>
        <v>363.71666666666664</v>
      </c>
      <c r="O121" s="616">
        <f t="shared" ca="1" si="6"/>
        <v>32</v>
      </c>
      <c r="P121" s="873">
        <f t="shared" ca="1" si="7"/>
        <v>10184.066666666668</v>
      </c>
      <c r="Q121" s="612" t="s">
        <v>4663</v>
      </c>
    </row>
    <row r="122" spans="2:17" ht="90" customHeight="1" x14ac:dyDescent="0.25">
      <c r="B122" s="611">
        <v>44889</v>
      </c>
      <c r="C122" s="611">
        <v>44889</v>
      </c>
      <c r="D122" s="612" t="s">
        <v>4658</v>
      </c>
      <c r="E122" s="632" t="s">
        <v>4725</v>
      </c>
      <c r="F122" s="613" t="s">
        <v>4660</v>
      </c>
      <c r="G122" s="612" t="s">
        <v>4726</v>
      </c>
      <c r="H122" s="613" t="s">
        <v>3856</v>
      </c>
      <c r="I122" s="612" t="s">
        <v>4662</v>
      </c>
      <c r="J122" s="614">
        <v>21823</v>
      </c>
      <c r="K122" s="614">
        <v>54.38</v>
      </c>
      <c r="L122" s="873">
        <f t="shared" si="4"/>
        <v>401.30562706877527</v>
      </c>
      <c r="M122" s="612">
        <v>60</v>
      </c>
      <c r="N122" s="615">
        <f t="shared" si="5"/>
        <v>363.71666666666664</v>
      </c>
      <c r="O122" s="616">
        <f t="shared" ca="1" si="6"/>
        <v>32</v>
      </c>
      <c r="P122" s="873">
        <f t="shared" ca="1" si="7"/>
        <v>10184.066666666668</v>
      </c>
      <c r="Q122" s="612" t="s">
        <v>4663</v>
      </c>
    </row>
    <row r="123" spans="2:17" ht="90" customHeight="1" x14ac:dyDescent="0.25">
      <c r="B123" s="611">
        <v>44889</v>
      </c>
      <c r="C123" s="611">
        <v>44889</v>
      </c>
      <c r="D123" s="612" t="s">
        <v>4658</v>
      </c>
      <c r="E123" s="632" t="s">
        <v>4727</v>
      </c>
      <c r="F123" s="613" t="s">
        <v>4660</v>
      </c>
      <c r="G123" s="612" t="s">
        <v>4728</v>
      </c>
      <c r="H123" s="613" t="s">
        <v>3856</v>
      </c>
      <c r="I123" s="612" t="s">
        <v>4662</v>
      </c>
      <c r="J123" s="614">
        <v>21823</v>
      </c>
      <c r="K123" s="614">
        <v>54.38</v>
      </c>
      <c r="L123" s="873">
        <f t="shared" si="4"/>
        <v>401.30562706877527</v>
      </c>
      <c r="M123" s="612">
        <v>60</v>
      </c>
      <c r="N123" s="615">
        <f t="shared" si="5"/>
        <v>363.71666666666664</v>
      </c>
      <c r="O123" s="616">
        <f t="shared" ca="1" si="6"/>
        <v>32</v>
      </c>
      <c r="P123" s="873">
        <f t="shared" ca="1" si="7"/>
        <v>10184.066666666668</v>
      </c>
      <c r="Q123" s="612" t="s">
        <v>4663</v>
      </c>
    </row>
    <row r="124" spans="2:17" ht="90" customHeight="1" x14ac:dyDescent="0.25">
      <c r="B124" s="611">
        <v>44889</v>
      </c>
      <c r="C124" s="611">
        <v>44889</v>
      </c>
      <c r="D124" s="612" t="s">
        <v>4658</v>
      </c>
      <c r="E124" s="632" t="s">
        <v>4729</v>
      </c>
      <c r="F124" s="613" t="s">
        <v>4660</v>
      </c>
      <c r="G124" s="612" t="s">
        <v>4730</v>
      </c>
      <c r="H124" s="613" t="s">
        <v>3856</v>
      </c>
      <c r="I124" s="612" t="s">
        <v>4662</v>
      </c>
      <c r="J124" s="614">
        <v>21823</v>
      </c>
      <c r="K124" s="614">
        <v>54.38</v>
      </c>
      <c r="L124" s="873">
        <f t="shared" si="4"/>
        <v>401.30562706877527</v>
      </c>
      <c r="M124" s="612">
        <v>60</v>
      </c>
      <c r="N124" s="615">
        <f t="shared" si="5"/>
        <v>363.71666666666664</v>
      </c>
      <c r="O124" s="616">
        <f t="shared" ca="1" si="6"/>
        <v>32</v>
      </c>
      <c r="P124" s="873">
        <f t="shared" ca="1" si="7"/>
        <v>10184.066666666668</v>
      </c>
      <c r="Q124" s="612" t="s">
        <v>4663</v>
      </c>
    </row>
    <row r="125" spans="2:17" ht="90" customHeight="1" x14ac:dyDescent="0.25">
      <c r="B125" s="611">
        <v>44889</v>
      </c>
      <c r="C125" s="611">
        <v>44889</v>
      </c>
      <c r="D125" s="612" t="s">
        <v>4658</v>
      </c>
      <c r="E125" s="632" t="s">
        <v>4731</v>
      </c>
      <c r="F125" s="613" t="s">
        <v>4660</v>
      </c>
      <c r="G125" s="612" t="s">
        <v>4732</v>
      </c>
      <c r="H125" s="613" t="s">
        <v>3856</v>
      </c>
      <c r="I125" s="612" t="s">
        <v>4662</v>
      </c>
      <c r="J125" s="614">
        <v>21823</v>
      </c>
      <c r="K125" s="614">
        <v>54.38</v>
      </c>
      <c r="L125" s="873">
        <f t="shared" si="4"/>
        <v>401.30562706877527</v>
      </c>
      <c r="M125" s="612">
        <v>60</v>
      </c>
      <c r="N125" s="615">
        <f t="shared" si="5"/>
        <v>363.71666666666664</v>
      </c>
      <c r="O125" s="616">
        <f t="shared" ca="1" si="6"/>
        <v>32</v>
      </c>
      <c r="P125" s="873">
        <f t="shared" ca="1" si="7"/>
        <v>10184.066666666668</v>
      </c>
      <c r="Q125" s="612" t="s">
        <v>4663</v>
      </c>
    </row>
    <row r="126" spans="2:17" ht="90" customHeight="1" x14ac:dyDescent="0.25">
      <c r="B126" s="611">
        <v>44889</v>
      </c>
      <c r="C126" s="611">
        <v>44889</v>
      </c>
      <c r="D126" s="612" t="s">
        <v>4658</v>
      </c>
      <c r="E126" s="632" t="s">
        <v>4733</v>
      </c>
      <c r="F126" s="613" t="s">
        <v>4660</v>
      </c>
      <c r="G126" s="612" t="s">
        <v>4734</v>
      </c>
      <c r="H126" s="613" t="s">
        <v>3856</v>
      </c>
      <c r="I126" s="612" t="s">
        <v>4662</v>
      </c>
      <c r="J126" s="614">
        <v>21823</v>
      </c>
      <c r="K126" s="614">
        <v>54.38</v>
      </c>
      <c r="L126" s="873">
        <f t="shared" si="4"/>
        <v>401.30562706877527</v>
      </c>
      <c r="M126" s="612">
        <v>60</v>
      </c>
      <c r="N126" s="615">
        <f t="shared" si="5"/>
        <v>363.71666666666664</v>
      </c>
      <c r="O126" s="616">
        <f t="shared" ca="1" si="6"/>
        <v>32</v>
      </c>
      <c r="P126" s="873">
        <f t="shared" ca="1" si="7"/>
        <v>10184.066666666668</v>
      </c>
      <c r="Q126" s="612" t="s">
        <v>4663</v>
      </c>
    </row>
    <row r="127" spans="2:17" ht="90" customHeight="1" x14ac:dyDescent="0.25">
      <c r="B127" s="611">
        <v>44889</v>
      </c>
      <c r="C127" s="611">
        <v>44889</v>
      </c>
      <c r="D127" s="612" t="s">
        <v>4658</v>
      </c>
      <c r="E127" s="632" t="s">
        <v>4735</v>
      </c>
      <c r="F127" s="613" t="s">
        <v>4660</v>
      </c>
      <c r="G127" s="612" t="s">
        <v>4736</v>
      </c>
      <c r="H127" s="613" t="s">
        <v>3856</v>
      </c>
      <c r="I127" s="612" t="s">
        <v>4662</v>
      </c>
      <c r="J127" s="614">
        <v>21823</v>
      </c>
      <c r="K127" s="614">
        <v>54.38</v>
      </c>
      <c r="L127" s="873">
        <f t="shared" si="4"/>
        <v>401.30562706877527</v>
      </c>
      <c r="M127" s="612">
        <v>60</v>
      </c>
      <c r="N127" s="615">
        <f t="shared" si="5"/>
        <v>363.71666666666664</v>
      </c>
      <c r="O127" s="616">
        <f t="shared" ca="1" si="6"/>
        <v>32</v>
      </c>
      <c r="P127" s="873">
        <f t="shared" ca="1" si="7"/>
        <v>10184.066666666668</v>
      </c>
      <c r="Q127" s="612" t="s">
        <v>4663</v>
      </c>
    </row>
    <row r="128" spans="2:17" ht="90" customHeight="1" x14ac:dyDescent="0.25">
      <c r="B128" s="611">
        <v>44889</v>
      </c>
      <c r="C128" s="611">
        <v>44889</v>
      </c>
      <c r="D128" s="612" t="s">
        <v>4658</v>
      </c>
      <c r="E128" s="632" t="s">
        <v>4737</v>
      </c>
      <c r="F128" s="613" t="s">
        <v>4660</v>
      </c>
      <c r="G128" s="612" t="s">
        <v>4738</v>
      </c>
      <c r="H128" s="613" t="s">
        <v>3856</v>
      </c>
      <c r="I128" s="612" t="s">
        <v>4662</v>
      </c>
      <c r="J128" s="614">
        <v>21823</v>
      </c>
      <c r="K128" s="614">
        <v>54.38</v>
      </c>
      <c r="L128" s="873">
        <f t="shared" si="4"/>
        <v>401.30562706877527</v>
      </c>
      <c r="M128" s="612">
        <v>60</v>
      </c>
      <c r="N128" s="615">
        <f t="shared" si="5"/>
        <v>363.71666666666664</v>
      </c>
      <c r="O128" s="616">
        <f t="shared" ca="1" si="6"/>
        <v>32</v>
      </c>
      <c r="P128" s="873">
        <f t="shared" ca="1" si="7"/>
        <v>10184.066666666668</v>
      </c>
      <c r="Q128" s="612" t="s">
        <v>4663</v>
      </c>
    </row>
    <row r="129" spans="2:17" ht="90" customHeight="1" x14ac:dyDescent="0.25">
      <c r="B129" s="611">
        <v>44889</v>
      </c>
      <c r="C129" s="611">
        <v>44889</v>
      </c>
      <c r="D129" s="612" t="s">
        <v>4658</v>
      </c>
      <c r="E129" s="632" t="s">
        <v>4739</v>
      </c>
      <c r="F129" s="613" t="s">
        <v>4660</v>
      </c>
      <c r="G129" s="612" t="s">
        <v>4740</v>
      </c>
      <c r="H129" s="613" t="s">
        <v>3856</v>
      </c>
      <c r="I129" s="612" t="s">
        <v>4662</v>
      </c>
      <c r="J129" s="614">
        <v>21823</v>
      </c>
      <c r="K129" s="614">
        <v>54.38</v>
      </c>
      <c r="L129" s="873">
        <f t="shared" si="4"/>
        <v>401.30562706877527</v>
      </c>
      <c r="M129" s="612">
        <v>60</v>
      </c>
      <c r="N129" s="615">
        <f t="shared" si="5"/>
        <v>363.71666666666664</v>
      </c>
      <c r="O129" s="616">
        <f t="shared" ca="1" si="6"/>
        <v>32</v>
      </c>
      <c r="P129" s="873">
        <f t="shared" ca="1" si="7"/>
        <v>10184.066666666668</v>
      </c>
      <c r="Q129" s="612" t="s">
        <v>4663</v>
      </c>
    </row>
    <row r="130" spans="2:17" ht="90" customHeight="1" x14ac:dyDescent="0.25">
      <c r="B130" s="611">
        <v>44889</v>
      </c>
      <c r="C130" s="611">
        <v>44889</v>
      </c>
      <c r="D130" s="612" t="s">
        <v>4658</v>
      </c>
      <c r="E130" s="632" t="s">
        <v>4741</v>
      </c>
      <c r="F130" s="613" t="s">
        <v>4660</v>
      </c>
      <c r="G130" s="612" t="s">
        <v>4742</v>
      </c>
      <c r="H130" s="613" t="s">
        <v>3856</v>
      </c>
      <c r="I130" s="612" t="s">
        <v>4662</v>
      </c>
      <c r="J130" s="614">
        <v>21823</v>
      </c>
      <c r="K130" s="614">
        <v>54.38</v>
      </c>
      <c r="L130" s="873">
        <f t="shared" si="4"/>
        <v>401.30562706877527</v>
      </c>
      <c r="M130" s="612">
        <v>60</v>
      </c>
      <c r="N130" s="615">
        <f t="shared" si="5"/>
        <v>363.71666666666664</v>
      </c>
      <c r="O130" s="616">
        <f t="shared" ca="1" si="6"/>
        <v>32</v>
      </c>
      <c r="P130" s="873">
        <f t="shared" ca="1" si="7"/>
        <v>10184.066666666668</v>
      </c>
      <c r="Q130" s="612" t="s">
        <v>4663</v>
      </c>
    </row>
    <row r="131" spans="2:17" ht="90" customHeight="1" x14ac:dyDescent="0.25">
      <c r="B131" s="611">
        <v>44889</v>
      </c>
      <c r="C131" s="611">
        <v>44889</v>
      </c>
      <c r="D131" s="612" t="s">
        <v>4658</v>
      </c>
      <c r="E131" s="632" t="s">
        <v>4743</v>
      </c>
      <c r="F131" s="613" t="s">
        <v>4660</v>
      </c>
      <c r="G131" s="612" t="s">
        <v>4744</v>
      </c>
      <c r="H131" s="613" t="s">
        <v>3856</v>
      </c>
      <c r="I131" s="612" t="s">
        <v>4662</v>
      </c>
      <c r="J131" s="614">
        <v>21823</v>
      </c>
      <c r="K131" s="614">
        <v>54.38</v>
      </c>
      <c r="L131" s="873">
        <f t="shared" si="4"/>
        <v>401.30562706877527</v>
      </c>
      <c r="M131" s="612">
        <v>60</v>
      </c>
      <c r="N131" s="615">
        <f t="shared" si="5"/>
        <v>363.71666666666664</v>
      </c>
      <c r="O131" s="616">
        <f t="shared" ca="1" si="6"/>
        <v>32</v>
      </c>
      <c r="P131" s="873">
        <f t="shared" ca="1" si="7"/>
        <v>10184.066666666668</v>
      </c>
      <c r="Q131" s="612" t="s">
        <v>4663</v>
      </c>
    </row>
    <row r="132" spans="2:17" ht="90" customHeight="1" x14ac:dyDescent="0.25">
      <c r="B132" s="611">
        <v>44889</v>
      </c>
      <c r="C132" s="611">
        <v>44889</v>
      </c>
      <c r="D132" s="612" t="s">
        <v>4658</v>
      </c>
      <c r="E132" s="632" t="s">
        <v>4745</v>
      </c>
      <c r="F132" s="613" t="s">
        <v>4660</v>
      </c>
      <c r="G132" s="612" t="s">
        <v>4746</v>
      </c>
      <c r="H132" s="613" t="s">
        <v>3856</v>
      </c>
      <c r="I132" s="612" t="s">
        <v>4662</v>
      </c>
      <c r="J132" s="614">
        <v>21823</v>
      </c>
      <c r="K132" s="614">
        <v>54.38</v>
      </c>
      <c r="L132" s="873">
        <f t="shared" si="4"/>
        <v>401.30562706877527</v>
      </c>
      <c r="M132" s="612">
        <v>60</v>
      </c>
      <c r="N132" s="615">
        <f t="shared" si="5"/>
        <v>363.71666666666664</v>
      </c>
      <c r="O132" s="616">
        <f t="shared" ca="1" si="6"/>
        <v>32</v>
      </c>
      <c r="P132" s="873">
        <f t="shared" ca="1" si="7"/>
        <v>10184.066666666668</v>
      </c>
      <c r="Q132" s="612" t="s">
        <v>4663</v>
      </c>
    </row>
    <row r="133" spans="2:17" ht="90" customHeight="1" x14ac:dyDescent="0.25">
      <c r="B133" s="611">
        <v>44889</v>
      </c>
      <c r="C133" s="611">
        <v>44889</v>
      </c>
      <c r="D133" s="612" t="s">
        <v>4658</v>
      </c>
      <c r="E133" s="632" t="s">
        <v>4747</v>
      </c>
      <c r="F133" s="613" t="s">
        <v>4660</v>
      </c>
      <c r="G133" s="612" t="s">
        <v>4748</v>
      </c>
      <c r="H133" s="613" t="s">
        <v>3856</v>
      </c>
      <c r="I133" s="612" t="s">
        <v>4662</v>
      </c>
      <c r="J133" s="614">
        <v>21823</v>
      </c>
      <c r="K133" s="614">
        <v>54.38</v>
      </c>
      <c r="L133" s="873">
        <f t="shared" si="4"/>
        <v>401.30562706877527</v>
      </c>
      <c r="M133" s="612">
        <v>60</v>
      </c>
      <c r="N133" s="615">
        <f t="shared" si="5"/>
        <v>363.71666666666664</v>
      </c>
      <c r="O133" s="616">
        <f t="shared" ca="1" si="6"/>
        <v>32</v>
      </c>
      <c r="P133" s="873">
        <f t="shared" ca="1" si="7"/>
        <v>10184.066666666668</v>
      </c>
      <c r="Q133" s="612" t="s">
        <v>4663</v>
      </c>
    </row>
    <row r="134" spans="2:17" ht="90" customHeight="1" x14ac:dyDescent="0.25">
      <c r="B134" s="611">
        <v>44889</v>
      </c>
      <c r="C134" s="611">
        <v>44889</v>
      </c>
      <c r="D134" s="612" t="s">
        <v>4658</v>
      </c>
      <c r="E134" s="632" t="s">
        <v>4749</v>
      </c>
      <c r="F134" s="613" t="s">
        <v>4660</v>
      </c>
      <c r="G134" s="612" t="s">
        <v>4750</v>
      </c>
      <c r="H134" s="613" t="s">
        <v>3856</v>
      </c>
      <c r="I134" s="612" t="s">
        <v>4662</v>
      </c>
      <c r="J134" s="614">
        <v>21823</v>
      </c>
      <c r="K134" s="614">
        <v>54.38</v>
      </c>
      <c r="L134" s="873">
        <f t="shared" si="4"/>
        <v>401.30562706877527</v>
      </c>
      <c r="M134" s="612">
        <v>60</v>
      </c>
      <c r="N134" s="615">
        <f t="shared" si="5"/>
        <v>363.71666666666664</v>
      </c>
      <c r="O134" s="616">
        <f t="shared" ca="1" si="6"/>
        <v>32</v>
      </c>
      <c r="P134" s="873">
        <f t="shared" ca="1" si="7"/>
        <v>10184.066666666668</v>
      </c>
      <c r="Q134" s="612" t="s">
        <v>4663</v>
      </c>
    </row>
    <row r="135" spans="2:17" ht="90" customHeight="1" x14ac:dyDescent="0.25">
      <c r="B135" s="611">
        <v>44889</v>
      </c>
      <c r="C135" s="611">
        <v>44889</v>
      </c>
      <c r="D135" s="612" t="s">
        <v>4658</v>
      </c>
      <c r="E135" s="632" t="s">
        <v>4751</v>
      </c>
      <c r="F135" s="613" t="s">
        <v>4660</v>
      </c>
      <c r="G135" s="612" t="s">
        <v>4752</v>
      </c>
      <c r="H135" s="613" t="s">
        <v>3856</v>
      </c>
      <c r="I135" s="612" t="s">
        <v>4662</v>
      </c>
      <c r="J135" s="614">
        <v>21823</v>
      </c>
      <c r="K135" s="614">
        <v>54.38</v>
      </c>
      <c r="L135" s="873">
        <f t="shared" si="4"/>
        <v>401.30562706877527</v>
      </c>
      <c r="M135" s="612">
        <v>60</v>
      </c>
      <c r="N135" s="615">
        <f t="shared" si="5"/>
        <v>363.71666666666664</v>
      </c>
      <c r="O135" s="616">
        <f t="shared" ca="1" si="6"/>
        <v>32</v>
      </c>
      <c r="P135" s="873">
        <f t="shared" ca="1" si="7"/>
        <v>10184.066666666668</v>
      </c>
      <c r="Q135" s="612" t="s">
        <v>4663</v>
      </c>
    </row>
    <row r="136" spans="2:17" ht="90" customHeight="1" x14ac:dyDescent="0.25">
      <c r="B136" s="611">
        <v>44889</v>
      </c>
      <c r="C136" s="611">
        <v>44889</v>
      </c>
      <c r="D136" s="612" t="s">
        <v>4658</v>
      </c>
      <c r="E136" s="632" t="s">
        <v>4753</v>
      </c>
      <c r="F136" s="613" t="s">
        <v>4660</v>
      </c>
      <c r="G136" s="612" t="s">
        <v>4754</v>
      </c>
      <c r="H136" s="613" t="s">
        <v>3856</v>
      </c>
      <c r="I136" s="612" t="s">
        <v>4662</v>
      </c>
      <c r="J136" s="614">
        <v>21823</v>
      </c>
      <c r="K136" s="614">
        <v>54.38</v>
      </c>
      <c r="L136" s="873">
        <f t="shared" ref="L136:L199" si="8">+J136/K136</f>
        <v>401.30562706877527</v>
      </c>
      <c r="M136" s="612">
        <v>60</v>
      </c>
      <c r="N136" s="615">
        <f t="shared" ref="N136:N199" si="9">+J136/M136</f>
        <v>363.71666666666664</v>
      </c>
      <c r="O136" s="616">
        <f t="shared" ref="O136:O189" ca="1" si="10">IF(B136&lt;&gt;0,(ROUND((NOW()-B136)/30,0)),0)</f>
        <v>32</v>
      </c>
      <c r="P136" s="873">
        <f t="shared" ref="P136:P199" ca="1" si="11">IF(OR(J136=0,M136=0,O136=0),0,J136-(N136*O136))</f>
        <v>10184.066666666668</v>
      </c>
      <c r="Q136" s="612" t="s">
        <v>4663</v>
      </c>
    </row>
    <row r="137" spans="2:17" ht="90" customHeight="1" x14ac:dyDescent="0.25">
      <c r="B137" s="611">
        <v>44889</v>
      </c>
      <c r="C137" s="611">
        <v>44889</v>
      </c>
      <c r="D137" s="612" t="s">
        <v>4658</v>
      </c>
      <c r="E137" s="632" t="s">
        <v>4755</v>
      </c>
      <c r="F137" s="613" t="s">
        <v>4660</v>
      </c>
      <c r="G137" s="612" t="s">
        <v>4756</v>
      </c>
      <c r="H137" s="613" t="s">
        <v>3856</v>
      </c>
      <c r="I137" s="612" t="s">
        <v>4662</v>
      </c>
      <c r="J137" s="614">
        <v>21823</v>
      </c>
      <c r="K137" s="614">
        <v>54.38</v>
      </c>
      <c r="L137" s="873">
        <f t="shared" si="8"/>
        <v>401.30562706877527</v>
      </c>
      <c r="M137" s="612">
        <v>60</v>
      </c>
      <c r="N137" s="615">
        <f t="shared" si="9"/>
        <v>363.71666666666664</v>
      </c>
      <c r="O137" s="616">
        <f t="shared" ca="1" si="10"/>
        <v>32</v>
      </c>
      <c r="P137" s="873">
        <f t="shared" ca="1" si="11"/>
        <v>10184.066666666668</v>
      </c>
      <c r="Q137" s="612" t="s">
        <v>4663</v>
      </c>
    </row>
    <row r="138" spans="2:17" ht="90" customHeight="1" x14ac:dyDescent="0.25">
      <c r="B138" s="611">
        <v>44889</v>
      </c>
      <c r="C138" s="611">
        <v>44889</v>
      </c>
      <c r="D138" s="612" t="s">
        <v>4658</v>
      </c>
      <c r="E138" s="632" t="s">
        <v>4757</v>
      </c>
      <c r="F138" s="613" t="s">
        <v>4660</v>
      </c>
      <c r="G138" s="612" t="s">
        <v>4667</v>
      </c>
      <c r="H138" s="613" t="s">
        <v>3856</v>
      </c>
      <c r="I138" s="612" t="s">
        <v>4662</v>
      </c>
      <c r="J138" s="614">
        <v>21823</v>
      </c>
      <c r="K138" s="614">
        <v>54.38</v>
      </c>
      <c r="L138" s="873">
        <f t="shared" si="8"/>
        <v>401.30562706877527</v>
      </c>
      <c r="M138" s="612">
        <v>60</v>
      </c>
      <c r="N138" s="615">
        <f t="shared" si="9"/>
        <v>363.71666666666664</v>
      </c>
      <c r="O138" s="616">
        <f t="shared" ca="1" si="10"/>
        <v>32</v>
      </c>
      <c r="P138" s="873">
        <f t="shared" ca="1" si="11"/>
        <v>10184.066666666668</v>
      </c>
      <c r="Q138" s="612" t="s">
        <v>4663</v>
      </c>
    </row>
    <row r="139" spans="2:17" ht="90" customHeight="1" x14ac:dyDescent="0.25">
      <c r="B139" s="611">
        <v>44889</v>
      </c>
      <c r="C139" s="611">
        <v>44889</v>
      </c>
      <c r="D139" s="612" t="s">
        <v>4658</v>
      </c>
      <c r="E139" s="632" t="s">
        <v>4758</v>
      </c>
      <c r="F139" s="613" t="s">
        <v>4660</v>
      </c>
      <c r="G139" s="612" t="s">
        <v>4667</v>
      </c>
      <c r="H139" s="613" t="s">
        <v>3856</v>
      </c>
      <c r="I139" s="612" t="s">
        <v>4662</v>
      </c>
      <c r="J139" s="614">
        <v>21823</v>
      </c>
      <c r="K139" s="614">
        <v>54.38</v>
      </c>
      <c r="L139" s="873">
        <f t="shared" si="8"/>
        <v>401.30562706877527</v>
      </c>
      <c r="M139" s="612">
        <v>60</v>
      </c>
      <c r="N139" s="615">
        <f t="shared" si="9"/>
        <v>363.71666666666664</v>
      </c>
      <c r="O139" s="616">
        <f t="shared" ca="1" si="10"/>
        <v>32</v>
      </c>
      <c r="P139" s="873">
        <f t="shared" ca="1" si="11"/>
        <v>10184.066666666668</v>
      </c>
      <c r="Q139" s="612" t="s">
        <v>4663</v>
      </c>
    </row>
    <row r="140" spans="2:17" ht="90" customHeight="1" x14ac:dyDescent="0.25">
      <c r="B140" s="611">
        <v>44889</v>
      </c>
      <c r="C140" s="611">
        <v>44889</v>
      </c>
      <c r="D140" s="612" t="s">
        <v>4658</v>
      </c>
      <c r="E140" s="632" t="s">
        <v>4759</v>
      </c>
      <c r="F140" s="613" t="s">
        <v>4760</v>
      </c>
      <c r="G140" s="612" t="s">
        <v>4667</v>
      </c>
      <c r="H140" s="613" t="s">
        <v>3856</v>
      </c>
      <c r="I140" s="612" t="s">
        <v>4662</v>
      </c>
      <c r="J140" s="614">
        <v>21823</v>
      </c>
      <c r="K140" s="614">
        <v>54.38</v>
      </c>
      <c r="L140" s="873">
        <f t="shared" si="8"/>
        <v>401.30562706877527</v>
      </c>
      <c r="M140" s="612">
        <v>60</v>
      </c>
      <c r="N140" s="615">
        <f t="shared" si="9"/>
        <v>363.71666666666664</v>
      </c>
      <c r="O140" s="616">
        <f t="shared" ca="1" si="10"/>
        <v>32</v>
      </c>
      <c r="P140" s="873">
        <f t="shared" ca="1" si="11"/>
        <v>10184.066666666668</v>
      </c>
      <c r="Q140" s="612" t="s">
        <v>4663</v>
      </c>
    </row>
    <row r="141" spans="2:17" ht="90" customHeight="1" x14ac:dyDescent="0.25">
      <c r="B141" s="611">
        <v>44889</v>
      </c>
      <c r="C141" s="611">
        <v>44889</v>
      </c>
      <c r="D141" s="612" t="s">
        <v>4658</v>
      </c>
      <c r="E141" s="632" t="s">
        <v>4761</v>
      </c>
      <c r="F141" s="613" t="s">
        <v>4760</v>
      </c>
      <c r="G141" s="612" t="s">
        <v>4667</v>
      </c>
      <c r="H141" s="613" t="s">
        <v>3856</v>
      </c>
      <c r="I141" s="612" t="s">
        <v>4662</v>
      </c>
      <c r="J141" s="614">
        <v>21823</v>
      </c>
      <c r="K141" s="614">
        <v>54.38</v>
      </c>
      <c r="L141" s="873">
        <f t="shared" si="8"/>
        <v>401.30562706877527</v>
      </c>
      <c r="M141" s="612">
        <v>60</v>
      </c>
      <c r="N141" s="615">
        <f t="shared" si="9"/>
        <v>363.71666666666664</v>
      </c>
      <c r="O141" s="616">
        <f t="shared" ca="1" si="10"/>
        <v>32</v>
      </c>
      <c r="P141" s="873">
        <f t="shared" ca="1" si="11"/>
        <v>10184.066666666668</v>
      </c>
      <c r="Q141" s="612" t="s">
        <v>4663</v>
      </c>
    </row>
    <row r="142" spans="2:17" ht="90" customHeight="1" x14ac:dyDescent="0.25">
      <c r="B142" s="611">
        <v>44889</v>
      </c>
      <c r="C142" s="611">
        <v>44889</v>
      </c>
      <c r="D142" s="612" t="s">
        <v>4658</v>
      </c>
      <c r="E142" s="632" t="s">
        <v>4762</v>
      </c>
      <c r="F142" s="613" t="s">
        <v>4760</v>
      </c>
      <c r="G142" s="612" t="s">
        <v>4667</v>
      </c>
      <c r="H142" s="613" t="s">
        <v>3856</v>
      </c>
      <c r="I142" s="612" t="s">
        <v>4662</v>
      </c>
      <c r="J142" s="614">
        <v>21823</v>
      </c>
      <c r="K142" s="614">
        <v>54.38</v>
      </c>
      <c r="L142" s="873">
        <f t="shared" si="8"/>
        <v>401.30562706877527</v>
      </c>
      <c r="M142" s="612">
        <v>60</v>
      </c>
      <c r="N142" s="615">
        <f t="shared" si="9"/>
        <v>363.71666666666664</v>
      </c>
      <c r="O142" s="616">
        <f t="shared" ca="1" si="10"/>
        <v>32</v>
      </c>
      <c r="P142" s="873">
        <f t="shared" ca="1" si="11"/>
        <v>10184.066666666668</v>
      </c>
      <c r="Q142" s="612" t="s">
        <v>4663</v>
      </c>
    </row>
    <row r="143" spans="2:17" ht="90" customHeight="1" x14ac:dyDescent="0.25">
      <c r="B143" s="611">
        <v>44889</v>
      </c>
      <c r="C143" s="611">
        <v>44889</v>
      </c>
      <c r="D143" s="612" t="s">
        <v>4658</v>
      </c>
      <c r="E143" s="632" t="s">
        <v>4763</v>
      </c>
      <c r="F143" s="613" t="s">
        <v>4760</v>
      </c>
      <c r="G143" s="612" t="s">
        <v>4667</v>
      </c>
      <c r="H143" s="613" t="s">
        <v>3856</v>
      </c>
      <c r="I143" s="612" t="s">
        <v>4662</v>
      </c>
      <c r="J143" s="614">
        <v>21823</v>
      </c>
      <c r="K143" s="614">
        <v>54.38</v>
      </c>
      <c r="L143" s="873">
        <f t="shared" si="8"/>
        <v>401.30562706877527</v>
      </c>
      <c r="M143" s="612">
        <v>60</v>
      </c>
      <c r="N143" s="615">
        <f t="shared" si="9"/>
        <v>363.71666666666664</v>
      </c>
      <c r="O143" s="616">
        <f t="shared" ca="1" si="10"/>
        <v>32</v>
      </c>
      <c r="P143" s="873">
        <f t="shared" ca="1" si="11"/>
        <v>10184.066666666668</v>
      </c>
      <c r="Q143" s="612" t="s">
        <v>4663</v>
      </c>
    </row>
    <row r="144" spans="2:17" ht="90" customHeight="1" x14ac:dyDescent="0.25">
      <c r="B144" s="611">
        <v>44889</v>
      </c>
      <c r="C144" s="611">
        <v>44889</v>
      </c>
      <c r="D144" s="612" t="s">
        <v>4658</v>
      </c>
      <c r="E144" s="632" t="s">
        <v>4764</v>
      </c>
      <c r="F144" s="613" t="s">
        <v>4760</v>
      </c>
      <c r="G144" s="612" t="s">
        <v>4667</v>
      </c>
      <c r="H144" s="613" t="s">
        <v>3856</v>
      </c>
      <c r="I144" s="612" t="s">
        <v>4662</v>
      </c>
      <c r="J144" s="614">
        <v>21823</v>
      </c>
      <c r="K144" s="614">
        <v>54.38</v>
      </c>
      <c r="L144" s="873">
        <f t="shared" si="8"/>
        <v>401.30562706877527</v>
      </c>
      <c r="M144" s="612">
        <v>60</v>
      </c>
      <c r="N144" s="615">
        <f t="shared" si="9"/>
        <v>363.71666666666664</v>
      </c>
      <c r="O144" s="616">
        <f t="shared" ca="1" si="10"/>
        <v>32</v>
      </c>
      <c r="P144" s="873">
        <f t="shared" ca="1" si="11"/>
        <v>10184.066666666668</v>
      </c>
      <c r="Q144" s="612" t="s">
        <v>4663</v>
      </c>
    </row>
    <row r="145" spans="2:17" ht="90" customHeight="1" x14ac:dyDescent="0.25">
      <c r="B145" s="611">
        <v>44889</v>
      </c>
      <c r="C145" s="611">
        <v>44889</v>
      </c>
      <c r="D145" s="612" t="s">
        <v>4658</v>
      </c>
      <c r="E145" s="632" t="s">
        <v>4765</v>
      </c>
      <c r="F145" s="613" t="s">
        <v>4760</v>
      </c>
      <c r="G145" s="612" t="s">
        <v>4667</v>
      </c>
      <c r="H145" s="613" t="s">
        <v>3856</v>
      </c>
      <c r="I145" s="612" t="s">
        <v>4662</v>
      </c>
      <c r="J145" s="614">
        <v>21823</v>
      </c>
      <c r="K145" s="614">
        <v>54.38</v>
      </c>
      <c r="L145" s="873">
        <f t="shared" si="8"/>
        <v>401.30562706877527</v>
      </c>
      <c r="M145" s="612">
        <v>60</v>
      </c>
      <c r="N145" s="615">
        <f t="shared" si="9"/>
        <v>363.71666666666664</v>
      </c>
      <c r="O145" s="616">
        <f t="shared" ca="1" si="10"/>
        <v>32</v>
      </c>
      <c r="P145" s="873">
        <f t="shared" ca="1" si="11"/>
        <v>10184.066666666668</v>
      </c>
      <c r="Q145" s="612" t="s">
        <v>4663</v>
      </c>
    </row>
    <row r="146" spans="2:17" ht="90" customHeight="1" x14ac:dyDescent="0.25">
      <c r="B146" s="611">
        <v>44889</v>
      </c>
      <c r="C146" s="611">
        <v>44889</v>
      </c>
      <c r="D146" s="612" t="s">
        <v>4658</v>
      </c>
      <c r="E146" s="632" t="s">
        <v>4766</v>
      </c>
      <c r="F146" s="613" t="s">
        <v>4760</v>
      </c>
      <c r="G146" s="612" t="s">
        <v>4667</v>
      </c>
      <c r="H146" s="613" t="s">
        <v>3856</v>
      </c>
      <c r="I146" s="612" t="s">
        <v>4662</v>
      </c>
      <c r="J146" s="614">
        <v>21823</v>
      </c>
      <c r="K146" s="614">
        <v>54.38</v>
      </c>
      <c r="L146" s="873">
        <f t="shared" si="8"/>
        <v>401.30562706877527</v>
      </c>
      <c r="M146" s="612">
        <v>60</v>
      </c>
      <c r="N146" s="615">
        <f t="shared" si="9"/>
        <v>363.71666666666664</v>
      </c>
      <c r="O146" s="616">
        <f t="shared" ca="1" si="10"/>
        <v>32</v>
      </c>
      <c r="P146" s="873">
        <f t="shared" ca="1" si="11"/>
        <v>10184.066666666668</v>
      </c>
      <c r="Q146" s="612" t="s">
        <v>4663</v>
      </c>
    </row>
    <row r="147" spans="2:17" ht="90" customHeight="1" x14ac:dyDescent="0.25">
      <c r="B147" s="611">
        <v>44889</v>
      </c>
      <c r="C147" s="611">
        <v>44889</v>
      </c>
      <c r="D147" s="612" t="s">
        <v>4658</v>
      </c>
      <c r="E147" s="632" t="s">
        <v>4767</v>
      </c>
      <c r="F147" s="613" t="s">
        <v>4760</v>
      </c>
      <c r="G147" s="612" t="s">
        <v>4667</v>
      </c>
      <c r="H147" s="613" t="s">
        <v>3856</v>
      </c>
      <c r="I147" s="612" t="s">
        <v>4662</v>
      </c>
      <c r="J147" s="614">
        <v>21823</v>
      </c>
      <c r="K147" s="614">
        <v>54.38</v>
      </c>
      <c r="L147" s="873">
        <f t="shared" si="8"/>
        <v>401.30562706877527</v>
      </c>
      <c r="M147" s="612">
        <v>60</v>
      </c>
      <c r="N147" s="615">
        <f t="shared" si="9"/>
        <v>363.71666666666664</v>
      </c>
      <c r="O147" s="616">
        <f t="shared" ca="1" si="10"/>
        <v>32</v>
      </c>
      <c r="P147" s="873">
        <f t="shared" ca="1" si="11"/>
        <v>10184.066666666668</v>
      </c>
      <c r="Q147" s="612" t="s">
        <v>4663</v>
      </c>
    </row>
    <row r="148" spans="2:17" ht="90" customHeight="1" x14ac:dyDescent="0.25">
      <c r="B148" s="611">
        <v>44889</v>
      </c>
      <c r="C148" s="611">
        <v>44889</v>
      </c>
      <c r="D148" s="612" t="s">
        <v>4658</v>
      </c>
      <c r="E148" s="632" t="s">
        <v>4768</v>
      </c>
      <c r="F148" s="613" t="s">
        <v>4760</v>
      </c>
      <c r="G148" s="612" t="s">
        <v>4667</v>
      </c>
      <c r="H148" s="613" t="s">
        <v>3856</v>
      </c>
      <c r="I148" s="612" t="s">
        <v>4662</v>
      </c>
      <c r="J148" s="614">
        <v>21823</v>
      </c>
      <c r="K148" s="614">
        <v>54.38</v>
      </c>
      <c r="L148" s="873">
        <f t="shared" si="8"/>
        <v>401.30562706877527</v>
      </c>
      <c r="M148" s="612">
        <v>60</v>
      </c>
      <c r="N148" s="615">
        <f t="shared" si="9"/>
        <v>363.71666666666664</v>
      </c>
      <c r="O148" s="616">
        <f t="shared" ca="1" si="10"/>
        <v>32</v>
      </c>
      <c r="P148" s="873">
        <f t="shared" ca="1" si="11"/>
        <v>10184.066666666668</v>
      </c>
      <c r="Q148" s="612" t="s">
        <v>4663</v>
      </c>
    </row>
    <row r="149" spans="2:17" ht="90" customHeight="1" x14ac:dyDescent="0.25">
      <c r="B149" s="611">
        <v>44889</v>
      </c>
      <c r="C149" s="611">
        <v>44889</v>
      </c>
      <c r="D149" s="612" t="s">
        <v>4658</v>
      </c>
      <c r="E149" s="632" t="s">
        <v>4769</v>
      </c>
      <c r="F149" s="613" t="s">
        <v>4760</v>
      </c>
      <c r="G149" s="612" t="s">
        <v>4667</v>
      </c>
      <c r="H149" s="613" t="s">
        <v>3856</v>
      </c>
      <c r="I149" s="612" t="s">
        <v>4662</v>
      </c>
      <c r="J149" s="614">
        <v>21823</v>
      </c>
      <c r="K149" s="614">
        <v>54.38</v>
      </c>
      <c r="L149" s="873">
        <f t="shared" si="8"/>
        <v>401.30562706877527</v>
      </c>
      <c r="M149" s="612">
        <v>60</v>
      </c>
      <c r="N149" s="615">
        <f t="shared" si="9"/>
        <v>363.71666666666664</v>
      </c>
      <c r="O149" s="616">
        <f t="shared" ca="1" si="10"/>
        <v>32</v>
      </c>
      <c r="P149" s="873">
        <f t="shared" ca="1" si="11"/>
        <v>10184.066666666668</v>
      </c>
      <c r="Q149" s="612" t="s">
        <v>4663</v>
      </c>
    </row>
    <row r="150" spans="2:17" ht="90" customHeight="1" x14ac:dyDescent="0.25">
      <c r="B150" s="611">
        <v>44889</v>
      </c>
      <c r="C150" s="611">
        <v>44889</v>
      </c>
      <c r="D150" s="612" t="s">
        <v>4658</v>
      </c>
      <c r="E150" s="632" t="s">
        <v>4770</v>
      </c>
      <c r="F150" s="613" t="s">
        <v>4760</v>
      </c>
      <c r="G150" s="612" t="s">
        <v>4667</v>
      </c>
      <c r="H150" s="613" t="s">
        <v>3856</v>
      </c>
      <c r="I150" s="612" t="s">
        <v>4662</v>
      </c>
      <c r="J150" s="614">
        <v>21823</v>
      </c>
      <c r="K150" s="614">
        <v>54.38</v>
      </c>
      <c r="L150" s="873">
        <f t="shared" si="8"/>
        <v>401.30562706877527</v>
      </c>
      <c r="M150" s="612">
        <v>60</v>
      </c>
      <c r="N150" s="615">
        <f t="shared" si="9"/>
        <v>363.71666666666664</v>
      </c>
      <c r="O150" s="616">
        <f t="shared" ca="1" si="10"/>
        <v>32</v>
      </c>
      <c r="P150" s="873">
        <f t="shared" ca="1" si="11"/>
        <v>10184.066666666668</v>
      </c>
      <c r="Q150" s="612" t="s">
        <v>4663</v>
      </c>
    </row>
    <row r="151" spans="2:17" ht="90" customHeight="1" x14ac:dyDescent="0.25">
      <c r="B151" s="611">
        <v>44889</v>
      </c>
      <c r="C151" s="611">
        <v>44889</v>
      </c>
      <c r="D151" s="612" t="s">
        <v>4658</v>
      </c>
      <c r="E151" s="632" t="s">
        <v>4771</v>
      </c>
      <c r="F151" s="613" t="s">
        <v>4760</v>
      </c>
      <c r="G151" s="612" t="s">
        <v>4667</v>
      </c>
      <c r="H151" s="613" t="s">
        <v>3856</v>
      </c>
      <c r="I151" s="612" t="s">
        <v>4662</v>
      </c>
      <c r="J151" s="614">
        <v>21823</v>
      </c>
      <c r="K151" s="614">
        <v>54.38</v>
      </c>
      <c r="L151" s="873">
        <f t="shared" si="8"/>
        <v>401.30562706877527</v>
      </c>
      <c r="M151" s="612">
        <v>60</v>
      </c>
      <c r="N151" s="615">
        <f t="shared" si="9"/>
        <v>363.71666666666664</v>
      </c>
      <c r="O151" s="616">
        <f t="shared" ca="1" si="10"/>
        <v>32</v>
      </c>
      <c r="P151" s="873">
        <f t="shared" ca="1" si="11"/>
        <v>10184.066666666668</v>
      </c>
      <c r="Q151" s="612" t="s">
        <v>4663</v>
      </c>
    </row>
    <row r="152" spans="2:17" ht="90" customHeight="1" x14ac:dyDescent="0.25">
      <c r="B152" s="611">
        <v>44889</v>
      </c>
      <c r="C152" s="611">
        <v>44889</v>
      </c>
      <c r="D152" s="612" t="s">
        <v>4658</v>
      </c>
      <c r="E152" s="632" t="s">
        <v>4772</v>
      </c>
      <c r="F152" s="613" t="s">
        <v>4760</v>
      </c>
      <c r="G152" s="612" t="s">
        <v>4667</v>
      </c>
      <c r="H152" s="613" t="s">
        <v>3856</v>
      </c>
      <c r="I152" s="612" t="s">
        <v>4662</v>
      </c>
      <c r="J152" s="614">
        <v>21823</v>
      </c>
      <c r="K152" s="614">
        <v>54.38</v>
      </c>
      <c r="L152" s="873">
        <f t="shared" si="8"/>
        <v>401.30562706877527</v>
      </c>
      <c r="M152" s="612">
        <v>60</v>
      </c>
      <c r="N152" s="615">
        <f t="shared" si="9"/>
        <v>363.71666666666664</v>
      </c>
      <c r="O152" s="616">
        <f t="shared" ca="1" si="10"/>
        <v>32</v>
      </c>
      <c r="P152" s="873">
        <f t="shared" ca="1" si="11"/>
        <v>10184.066666666668</v>
      </c>
      <c r="Q152" s="612" t="s">
        <v>4663</v>
      </c>
    </row>
    <row r="153" spans="2:17" ht="90" customHeight="1" x14ac:dyDescent="0.25">
      <c r="B153" s="611">
        <v>44889</v>
      </c>
      <c r="C153" s="611">
        <v>44889</v>
      </c>
      <c r="D153" s="612" t="s">
        <v>4658</v>
      </c>
      <c r="E153" s="632" t="s">
        <v>4773</v>
      </c>
      <c r="F153" s="613" t="s">
        <v>4760</v>
      </c>
      <c r="G153" s="612" t="s">
        <v>4667</v>
      </c>
      <c r="H153" s="613" t="s">
        <v>3856</v>
      </c>
      <c r="I153" s="612" t="s">
        <v>4662</v>
      </c>
      <c r="J153" s="614">
        <v>21823</v>
      </c>
      <c r="K153" s="614">
        <v>54.38</v>
      </c>
      <c r="L153" s="873">
        <f t="shared" si="8"/>
        <v>401.30562706877527</v>
      </c>
      <c r="M153" s="612">
        <v>60</v>
      </c>
      <c r="N153" s="615">
        <f t="shared" si="9"/>
        <v>363.71666666666664</v>
      </c>
      <c r="O153" s="616">
        <f t="shared" ca="1" si="10"/>
        <v>32</v>
      </c>
      <c r="P153" s="873">
        <f t="shared" ca="1" si="11"/>
        <v>10184.066666666668</v>
      </c>
      <c r="Q153" s="612" t="s">
        <v>4663</v>
      </c>
    </row>
    <row r="154" spans="2:17" ht="90" customHeight="1" x14ac:dyDescent="0.25">
      <c r="B154" s="611">
        <v>44889</v>
      </c>
      <c r="C154" s="611">
        <v>44889</v>
      </c>
      <c r="D154" s="612" t="s">
        <v>4658</v>
      </c>
      <c r="E154" s="632" t="s">
        <v>4774</v>
      </c>
      <c r="F154" s="613" t="s">
        <v>4760</v>
      </c>
      <c r="G154" s="612" t="s">
        <v>4667</v>
      </c>
      <c r="H154" s="613" t="s">
        <v>3856</v>
      </c>
      <c r="I154" s="612" t="s">
        <v>4662</v>
      </c>
      <c r="J154" s="614">
        <v>21823</v>
      </c>
      <c r="K154" s="614">
        <v>54.38</v>
      </c>
      <c r="L154" s="873">
        <f t="shared" si="8"/>
        <v>401.30562706877527</v>
      </c>
      <c r="M154" s="612">
        <v>60</v>
      </c>
      <c r="N154" s="615">
        <f t="shared" si="9"/>
        <v>363.71666666666664</v>
      </c>
      <c r="O154" s="616">
        <f t="shared" ca="1" si="10"/>
        <v>32</v>
      </c>
      <c r="P154" s="873">
        <f t="shared" ca="1" si="11"/>
        <v>10184.066666666668</v>
      </c>
      <c r="Q154" s="612" t="s">
        <v>4663</v>
      </c>
    </row>
    <row r="155" spans="2:17" ht="90" customHeight="1" x14ac:dyDescent="0.25">
      <c r="B155" s="611">
        <v>44889</v>
      </c>
      <c r="C155" s="611">
        <v>44889</v>
      </c>
      <c r="D155" s="612" t="s">
        <v>4658</v>
      </c>
      <c r="E155" s="632" t="s">
        <v>4775</v>
      </c>
      <c r="F155" s="613" t="s">
        <v>4760</v>
      </c>
      <c r="G155" s="612" t="s">
        <v>4667</v>
      </c>
      <c r="H155" s="613" t="s">
        <v>3856</v>
      </c>
      <c r="I155" s="612" t="s">
        <v>4662</v>
      </c>
      <c r="J155" s="614">
        <v>21823</v>
      </c>
      <c r="K155" s="614">
        <v>54.38</v>
      </c>
      <c r="L155" s="873">
        <f t="shared" si="8"/>
        <v>401.30562706877527</v>
      </c>
      <c r="M155" s="612">
        <v>60</v>
      </c>
      <c r="N155" s="615">
        <f t="shared" si="9"/>
        <v>363.71666666666664</v>
      </c>
      <c r="O155" s="616">
        <f t="shared" ca="1" si="10"/>
        <v>32</v>
      </c>
      <c r="P155" s="873">
        <f t="shared" ca="1" si="11"/>
        <v>10184.066666666668</v>
      </c>
      <c r="Q155" s="612" t="s">
        <v>4663</v>
      </c>
    </row>
    <row r="156" spans="2:17" ht="90" customHeight="1" x14ac:dyDescent="0.25">
      <c r="B156" s="611">
        <v>44889</v>
      </c>
      <c r="C156" s="611">
        <v>44889</v>
      </c>
      <c r="D156" s="612" t="s">
        <v>4658</v>
      </c>
      <c r="E156" s="632" t="s">
        <v>4776</v>
      </c>
      <c r="F156" s="613" t="s">
        <v>4760</v>
      </c>
      <c r="G156" s="612" t="s">
        <v>4667</v>
      </c>
      <c r="H156" s="613" t="s">
        <v>3856</v>
      </c>
      <c r="I156" s="612" t="s">
        <v>4662</v>
      </c>
      <c r="J156" s="614">
        <v>21823</v>
      </c>
      <c r="K156" s="614">
        <v>54.38</v>
      </c>
      <c r="L156" s="873">
        <f t="shared" si="8"/>
        <v>401.30562706877527</v>
      </c>
      <c r="M156" s="612">
        <v>60</v>
      </c>
      <c r="N156" s="615">
        <f t="shared" si="9"/>
        <v>363.71666666666664</v>
      </c>
      <c r="O156" s="616">
        <f t="shared" ca="1" si="10"/>
        <v>32</v>
      </c>
      <c r="P156" s="873">
        <f t="shared" ca="1" si="11"/>
        <v>10184.066666666668</v>
      </c>
      <c r="Q156" s="612" t="s">
        <v>4663</v>
      </c>
    </row>
    <row r="157" spans="2:17" ht="90" customHeight="1" x14ac:dyDescent="0.25">
      <c r="B157" s="611">
        <v>44889</v>
      </c>
      <c r="C157" s="611">
        <v>44889</v>
      </c>
      <c r="D157" s="612" t="s">
        <v>4658</v>
      </c>
      <c r="E157" s="632" t="s">
        <v>4777</v>
      </c>
      <c r="F157" s="613" t="s">
        <v>4760</v>
      </c>
      <c r="G157" s="612" t="s">
        <v>4667</v>
      </c>
      <c r="H157" s="613" t="s">
        <v>3856</v>
      </c>
      <c r="I157" s="612" t="s">
        <v>4662</v>
      </c>
      <c r="J157" s="614">
        <v>21823</v>
      </c>
      <c r="K157" s="614">
        <v>54.38</v>
      </c>
      <c r="L157" s="873">
        <f t="shared" si="8"/>
        <v>401.30562706877527</v>
      </c>
      <c r="M157" s="612">
        <v>60</v>
      </c>
      <c r="N157" s="615">
        <f t="shared" si="9"/>
        <v>363.71666666666664</v>
      </c>
      <c r="O157" s="616">
        <f t="shared" ca="1" si="10"/>
        <v>32</v>
      </c>
      <c r="P157" s="873">
        <f t="shared" ca="1" si="11"/>
        <v>10184.066666666668</v>
      </c>
      <c r="Q157" s="612" t="s">
        <v>4663</v>
      </c>
    </row>
    <row r="158" spans="2:17" ht="90" customHeight="1" x14ac:dyDescent="0.25">
      <c r="B158" s="611">
        <v>44889</v>
      </c>
      <c r="C158" s="611">
        <v>44889</v>
      </c>
      <c r="D158" s="612" t="s">
        <v>4658</v>
      </c>
      <c r="E158" s="632" t="s">
        <v>4778</v>
      </c>
      <c r="F158" s="613" t="s">
        <v>4760</v>
      </c>
      <c r="G158" s="612" t="s">
        <v>4667</v>
      </c>
      <c r="H158" s="613" t="s">
        <v>3856</v>
      </c>
      <c r="I158" s="612" t="s">
        <v>4662</v>
      </c>
      <c r="J158" s="614">
        <v>21823</v>
      </c>
      <c r="K158" s="614">
        <v>54.38</v>
      </c>
      <c r="L158" s="873">
        <f t="shared" si="8"/>
        <v>401.30562706877527</v>
      </c>
      <c r="M158" s="612">
        <v>60</v>
      </c>
      <c r="N158" s="615">
        <f t="shared" si="9"/>
        <v>363.71666666666664</v>
      </c>
      <c r="O158" s="616">
        <f t="shared" ca="1" si="10"/>
        <v>32</v>
      </c>
      <c r="P158" s="873">
        <f t="shared" ca="1" si="11"/>
        <v>10184.066666666668</v>
      </c>
      <c r="Q158" s="612" t="s">
        <v>4663</v>
      </c>
    </row>
    <row r="159" spans="2:17" ht="90" customHeight="1" x14ac:dyDescent="0.25">
      <c r="B159" s="611">
        <v>44889</v>
      </c>
      <c r="C159" s="611">
        <v>44889</v>
      </c>
      <c r="D159" s="612" t="s">
        <v>4658</v>
      </c>
      <c r="E159" s="632" t="s">
        <v>4779</v>
      </c>
      <c r="F159" s="613" t="s">
        <v>4760</v>
      </c>
      <c r="G159" s="612" t="s">
        <v>4667</v>
      </c>
      <c r="H159" s="613" t="s">
        <v>3856</v>
      </c>
      <c r="I159" s="612" t="s">
        <v>4662</v>
      </c>
      <c r="J159" s="614">
        <v>21823</v>
      </c>
      <c r="K159" s="614">
        <v>54.38</v>
      </c>
      <c r="L159" s="873">
        <f t="shared" si="8"/>
        <v>401.30562706877527</v>
      </c>
      <c r="M159" s="612">
        <v>60</v>
      </c>
      <c r="N159" s="615">
        <f t="shared" si="9"/>
        <v>363.71666666666664</v>
      </c>
      <c r="O159" s="616">
        <f t="shared" ca="1" si="10"/>
        <v>32</v>
      </c>
      <c r="P159" s="873">
        <f t="shared" ca="1" si="11"/>
        <v>10184.066666666668</v>
      </c>
      <c r="Q159" s="612" t="s">
        <v>4663</v>
      </c>
    </row>
    <row r="160" spans="2:17" ht="90" customHeight="1" x14ac:dyDescent="0.25">
      <c r="B160" s="611">
        <v>44889</v>
      </c>
      <c r="C160" s="611">
        <v>44889</v>
      </c>
      <c r="D160" s="612" t="s">
        <v>4658</v>
      </c>
      <c r="E160" s="632" t="s">
        <v>4780</v>
      </c>
      <c r="F160" s="613" t="s">
        <v>4760</v>
      </c>
      <c r="G160" s="612" t="s">
        <v>4667</v>
      </c>
      <c r="H160" s="613" t="s">
        <v>3856</v>
      </c>
      <c r="I160" s="612" t="s">
        <v>4662</v>
      </c>
      <c r="J160" s="614">
        <v>21823</v>
      </c>
      <c r="K160" s="614">
        <v>54.38</v>
      </c>
      <c r="L160" s="873">
        <f t="shared" si="8"/>
        <v>401.30562706877527</v>
      </c>
      <c r="M160" s="612">
        <v>60</v>
      </c>
      <c r="N160" s="615">
        <f t="shared" si="9"/>
        <v>363.71666666666664</v>
      </c>
      <c r="O160" s="616">
        <f t="shared" ca="1" si="10"/>
        <v>32</v>
      </c>
      <c r="P160" s="873">
        <f t="shared" ca="1" si="11"/>
        <v>10184.066666666668</v>
      </c>
      <c r="Q160" s="612" t="s">
        <v>4663</v>
      </c>
    </row>
    <row r="161" spans="2:17" ht="90" customHeight="1" x14ac:dyDescent="0.25">
      <c r="B161" s="611">
        <v>44889</v>
      </c>
      <c r="C161" s="611">
        <v>44889</v>
      </c>
      <c r="D161" s="612" t="s">
        <v>4658</v>
      </c>
      <c r="E161" s="632" t="s">
        <v>4781</v>
      </c>
      <c r="F161" s="613" t="s">
        <v>4760</v>
      </c>
      <c r="G161" s="612" t="s">
        <v>4667</v>
      </c>
      <c r="H161" s="613" t="s">
        <v>3856</v>
      </c>
      <c r="I161" s="612" t="s">
        <v>4662</v>
      </c>
      <c r="J161" s="614">
        <v>21823</v>
      </c>
      <c r="K161" s="614">
        <v>54.38</v>
      </c>
      <c r="L161" s="873">
        <f t="shared" si="8"/>
        <v>401.30562706877527</v>
      </c>
      <c r="M161" s="612">
        <v>60</v>
      </c>
      <c r="N161" s="615">
        <f t="shared" si="9"/>
        <v>363.71666666666664</v>
      </c>
      <c r="O161" s="616">
        <f t="shared" ca="1" si="10"/>
        <v>32</v>
      </c>
      <c r="P161" s="873">
        <f t="shared" ca="1" si="11"/>
        <v>10184.066666666668</v>
      </c>
      <c r="Q161" s="612" t="s">
        <v>4663</v>
      </c>
    </row>
    <row r="162" spans="2:17" ht="90" customHeight="1" x14ac:dyDescent="0.25">
      <c r="B162" s="611">
        <v>44889</v>
      </c>
      <c r="C162" s="611">
        <v>44889</v>
      </c>
      <c r="D162" s="612" t="s">
        <v>4658</v>
      </c>
      <c r="E162" s="632" t="s">
        <v>4782</v>
      </c>
      <c r="F162" s="613" t="s">
        <v>4760</v>
      </c>
      <c r="G162" s="612" t="s">
        <v>4667</v>
      </c>
      <c r="H162" s="613" t="s">
        <v>3856</v>
      </c>
      <c r="I162" s="612" t="s">
        <v>4662</v>
      </c>
      <c r="J162" s="614">
        <v>21823</v>
      </c>
      <c r="K162" s="614">
        <v>54.38</v>
      </c>
      <c r="L162" s="873">
        <f t="shared" si="8"/>
        <v>401.30562706877527</v>
      </c>
      <c r="M162" s="612">
        <v>60</v>
      </c>
      <c r="N162" s="615">
        <f t="shared" si="9"/>
        <v>363.71666666666664</v>
      </c>
      <c r="O162" s="616">
        <f t="shared" ca="1" si="10"/>
        <v>32</v>
      </c>
      <c r="P162" s="873">
        <f t="shared" ca="1" si="11"/>
        <v>10184.066666666668</v>
      </c>
      <c r="Q162" s="612" t="s">
        <v>4663</v>
      </c>
    </row>
    <row r="163" spans="2:17" ht="90" customHeight="1" x14ac:dyDescent="0.25">
      <c r="B163" s="611">
        <v>44889</v>
      </c>
      <c r="C163" s="611">
        <v>44889</v>
      </c>
      <c r="D163" s="612" t="s">
        <v>4658</v>
      </c>
      <c r="E163" s="632" t="s">
        <v>4783</v>
      </c>
      <c r="F163" s="613" t="s">
        <v>4760</v>
      </c>
      <c r="G163" s="612" t="s">
        <v>4667</v>
      </c>
      <c r="H163" s="613" t="s">
        <v>3856</v>
      </c>
      <c r="I163" s="612" t="s">
        <v>4662</v>
      </c>
      <c r="J163" s="614">
        <v>21823</v>
      </c>
      <c r="K163" s="614">
        <v>54.38</v>
      </c>
      <c r="L163" s="873">
        <f t="shared" si="8"/>
        <v>401.30562706877527</v>
      </c>
      <c r="M163" s="612">
        <v>60</v>
      </c>
      <c r="N163" s="615">
        <f t="shared" si="9"/>
        <v>363.71666666666664</v>
      </c>
      <c r="O163" s="616">
        <f t="shared" ca="1" si="10"/>
        <v>32</v>
      </c>
      <c r="P163" s="873">
        <f t="shared" ca="1" si="11"/>
        <v>10184.066666666668</v>
      </c>
      <c r="Q163" s="612" t="s">
        <v>4663</v>
      </c>
    </row>
    <row r="164" spans="2:17" ht="90" customHeight="1" x14ac:dyDescent="0.25">
      <c r="B164" s="611">
        <v>44889</v>
      </c>
      <c r="C164" s="611">
        <v>44889</v>
      </c>
      <c r="D164" s="612" t="s">
        <v>4658</v>
      </c>
      <c r="E164" s="632" t="s">
        <v>4784</v>
      </c>
      <c r="F164" s="613" t="s">
        <v>4760</v>
      </c>
      <c r="G164" s="612" t="s">
        <v>4667</v>
      </c>
      <c r="H164" s="613" t="s">
        <v>3856</v>
      </c>
      <c r="I164" s="612" t="s">
        <v>4662</v>
      </c>
      <c r="J164" s="614">
        <v>21823</v>
      </c>
      <c r="K164" s="614">
        <v>54.38</v>
      </c>
      <c r="L164" s="873">
        <f t="shared" si="8"/>
        <v>401.30562706877527</v>
      </c>
      <c r="M164" s="612">
        <v>60</v>
      </c>
      <c r="N164" s="615">
        <f t="shared" si="9"/>
        <v>363.71666666666664</v>
      </c>
      <c r="O164" s="616">
        <f t="shared" ca="1" si="10"/>
        <v>32</v>
      </c>
      <c r="P164" s="873">
        <f t="shared" ca="1" si="11"/>
        <v>10184.066666666668</v>
      </c>
      <c r="Q164" s="612" t="s">
        <v>4663</v>
      </c>
    </row>
    <row r="165" spans="2:17" ht="90" customHeight="1" x14ac:dyDescent="0.25">
      <c r="B165" s="611">
        <v>44889</v>
      </c>
      <c r="C165" s="611">
        <v>44889</v>
      </c>
      <c r="D165" s="612" t="s">
        <v>4658</v>
      </c>
      <c r="E165" s="632" t="s">
        <v>4785</v>
      </c>
      <c r="F165" s="613" t="s">
        <v>4760</v>
      </c>
      <c r="G165" s="612" t="s">
        <v>4667</v>
      </c>
      <c r="H165" s="613" t="s">
        <v>3856</v>
      </c>
      <c r="I165" s="612" t="s">
        <v>4662</v>
      </c>
      <c r="J165" s="614">
        <v>21823</v>
      </c>
      <c r="K165" s="614">
        <v>54.38</v>
      </c>
      <c r="L165" s="873">
        <f t="shared" si="8"/>
        <v>401.30562706877527</v>
      </c>
      <c r="M165" s="612">
        <v>60</v>
      </c>
      <c r="N165" s="615">
        <f t="shared" si="9"/>
        <v>363.71666666666664</v>
      </c>
      <c r="O165" s="616">
        <f t="shared" ca="1" si="10"/>
        <v>32</v>
      </c>
      <c r="P165" s="873">
        <f t="shared" ca="1" si="11"/>
        <v>10184.066666666668</v>
      </c>
      <c r="Q165" s="612" t="s">
        <v>4663</v>
      </c>
    </row>
    <row r="166" spans="2:17" ht="90" customHeight="1" x14ac:dyDescent="0.25">
      <c r="B166" s="611">
        <v>44889</v>
      </c>
      <c r="C166" s="611">
        <v>44889</v>
      </c>
      <c r="D166" s="612" t="s">
        <v>4658</v>
      </c>
      <c r="E166" s="632" t="s">
        <v>4786</v>
      </c>
      <c r="F166" s="613" t="s">
        <v>4760</v>
      </c>
      <c r="G166" s="612" t="s">
        <v>4667</v>
      </c>
      <c r="H166" s="613" t="s">
        <v>3856</v>
      </c>
      <c r="I166" s="612" t="s">
        <v>4662</v>
      </c>
      <c r="J166" s="614">
        <v>21823</v>
      </c>
      <c r="K166" s="614">
        <v>54.38</v>
      </c>
      <c r="L166" s="873">
        <f t="shared" si="8"/>
        <v>401.30562706877527</v>
      </c>
      <c r="M166" s="612">
        <v>60</v>
      </c>
      <c r="N166" s="615">
        <f t="shared" si="9"/>
        <v>363.71666666666664</v>
      </c>
      <c r="O166" s="616">
        <f t="shared" ca="1" si="10"/>
        <v>32</v>
      </c>
      <c r="P166" s="873">
        <f t="shared" ca="1" si="11"/>
        <v>10184.066666666668</v>
      </c>
      <c r="Q166" s="612" t="s">
        <v>4663</v>
      </c>
    </row>
    <row r="167" spans="2:17" ht="90" customHeight="1" x14ac:dyDescent="0.25">
      <c r="B167" s="611">
        <v>44889</v>
      </c>
      <c r="C167" s="611">
        <v>44889</v>
      </c>
      <c r="D167" s="612" t="s">
        <v>4658</v>
      </c>
      <c r="E167" s="632" t="s">
        <v>4787</v>
      </c>
      <c r="F167" s="613" t="s">
        <v>4760</v>
      </c>
      <c r="G167" s="612" t="s">
        <v>4667</v>
      </c>
      <c r="H167" s="613" t="s">
        <v>3856</v>
      </c>
      <c r="I167" s="612" t="s">
        <v>4662</v>
      </c>
      <c r="J167" s="614">
        <v>21823</v>
      </c>
      <c r="K167" s="614">
        <v>54.38</v>
      </c>
      <c r="L167" s="873">
        <f t="shared" si="8"/>
        <v>401.30562706877527</v>
      </c>
      <c r="M167" s="612">
        <v>60</v>
      </c>
      <c r="N167" s="615">
        <f t="shared" si="9"/>
        <v>363.71666666666664</v>
      </c>
      <c r="O167" s="616">
        <f t="shared" ca="1" si="10"/>
        <v>32</v>
      </c>
      <c r="P167" s="873">
        <f t="shared" ca="1" si="11"/>
        <v>10184.066666666668</v>
      </c>
      <c r="Q167" s="612" t="s">
        <v>4663</v>
      </c>
    </row>
    <row r="168" spans="2:17" ht="90" customHeight="1" x14ac:dyDescent="0.25">
      <c r="B168" s="611">
        <v>44889</v>
      </c>
      <c r="C168" s="611">
        <v>44889</v>
      </c>
      <c r="D168" s="612" t="s">
        <v>4658</v>
      </c>
      <c r="E168" s="632" t="s">
        <v>4788</v>
      </c>
      <c r="F168" s="613" t="s">
        <v>4760</v>
      </c>
      <c r="G168" s="612" t="s">
        <v>4667</v>
      </c>
      <c r="H168" s="613" t="s">
        <v>3856</v>
      </c>
      <c r="I168" s="612" t="s">
        <v>4662</v>
      </c>
      <c r="J168" s="614">
        <v>21823</v>
      </c>
      <c r="K168" s="614">
        <v>54.38</v>
      </c>
      <c r="L168" s="873">
        <f t="shared" si="8"/>
        <v>401.30562706877527</v>
      </c>
      <c r="M168" s="612">
        <v>60</v>
      </c>
      <c r="N168" s="615">
        <f t="shared" si="9"/>
        <v>363.71666666666664</v>
      </c>
      <c r="O168" s="616">
        <f t="shared" ca="1" si="10"/>
        <v>32</v>
      </c>
      <c r="P168" s="873">
        <f t="shared" ca="1" si="11"/>
        <v>10184.066666666668</v>
      </c>
      <c r="Q168" s="612" t="s">
        <v>4663</v>
      </c>
    </row>
    <row r="169" spans="2:17" ht="90" customHeight="1" x14ac:dyDescent="0.25">
      <c r="B169" s="611">
        <v>44889</v>
      </c>
      <c r="C169" s="611">
        <v>44889</v>
      </c>
      <c r="D169" s="612" t="s">
        <v>4658</v>
      </c>
      <c r="E169" s="632" t="s">
        <v>4789</v>
      </c>
      <c r="F169" s="613" t="s">
        <v>4760</v>
      </c>
      <c r="G169" s="612" t="s">
        <v>4667</v>
      </c>
      <c r="H169" s="613" t="s">
        <v>3856</v>
      </c>
      <c r="I169" s="612" t="s">
        <v>4662</v>
      </c>
      <c r="J169" s="614">
        <v>21823</v>
      </c>
      <c r="K169" s="614">
        <v>54.38</v>
      </c>
      <c r="L169" s="873">
        <f t="shared" si="8"/>
        <v>401.30562706877527</v>
      </c>
      <c r="M169" s="612">
        <v>60</v>
      </c>
      <c r="N169" s="615">
        <f t="shared" si="9"/>
        <v>363.71666666666664</v>
      </c>
      <c r="O169" s="616">
        <f t="shared" ca="1" si="10"/>
        <v>32</v>
      </c>
      <c r="P169" s="873">
        <f t="shared" ca="1" si="11"/>
        <v>10184.066666666668</v>
      </c>
      <c r="Q169" s="612" t="s">
        <v>4663</v>
      </c>
    </row>
    <row r="170" spans="2:17" ht="90" customHeight="1" x14ac:dyDescent="0.25">
      <c r="B170" s="611">
        <v>44889</v>
      </c>
      <c r="C170" s="611">
        <v>44889</v>
      </c>
      <c r="D170" s="612" t="s">
        <v>4658</v>
      </c>
      <c r="E170" s="632" t="s">
        <v>4790</v>
      </c>
      <c r="F170" s="613" t="s">
        <v>4760</v>
      </c>
      <c r="G170" s="612" t="s">
        <v>4667</v>
      </c>
      <c r="H170" s="613" t="s">
        <v>3856</v>
      </c>
      <c r="I170" s="612" t="s">
        <v>4662</v>
      </c>
      <c r="J170" s="614">
        <v>21823</v>
      </c>
      <c r="K170" s="614">
        <v>54.38</v>
      </c>
      <c r="L170" s="873">
        <f t="shared" si="8"/>
        <v>401.30562706877527</v>
      </c>
      <c r="M170" s="612">
        <v>60</v>
      </c>
      <c r="N170" s="615">
        <f t="shared" si="9"/>
        <v>363.71666666666664</v>
      </c>
      <c r="O170" s="616">
        <f t="shared" ca="1" si="10"/>
        <v>32</v>
      </c>
      <c r="P170" s="873">
        <f t="shared" ca="1" si="11"/>
        <v>10184.066666666668</v>
      </c>
      <c r="Q170" s="612" t="s">
        <v>4663</v>
      </c>
    </row>
    <row r="171" spans="2:17" ht="90" customHeight="1" x14ac:dyDescent="0.25">
      <c r="B171" s="611">
        <v>44889</v>
      </c>
      <c r="C171" s="611">
        <v>44889</v>
      </c>
      <c r="D171" s="612" t="s">
        <v>4658</v>
      </c>
      <c r="E171" s="632" t="s">
        <v>4791</v>
      </c>
      <c r="F171" s="613" t="s">
        <v>4760</v>
      </c>
      <c r="G171" s="612" t="s">
        <v>4667</v>
      </c>
      <c r="H171" s="613" t="s">
        <v>3856</v>
      </c>
      <c r="I171" s="612" t="s">
        <v>4662</v>
      </c>
      <c r="J171" s="614">
        <v>21823</v>
      </c>
      <c r="K171" s="614">
        <v>54.38</v>
      </c>
      <c r="L171" s="873">
        <f t="shared" si="8"/>
        <v>401.30562706877527</v>
      </c>
      <c r="M171" s="612">
        <v>60</v>
      </c>
      <c r="N171" s="615">
        <f t="shared" si="9"/>
        <v>363.71666666666664</v>
      </c>
      <c r="O171" s="616">
        <f t="shared" ca="1" si="10"/>
        <v>32</v>
      </c>
      <c r="P171" s="873">
        <f t="shared" ca="1" si="11"/>
        <v>10184.066666666668</v>
      </c>
      <c r="Q171" s="612" t="s">
        <v>4663</v>
      </c>
    </row>
    <row r="172" spans="2:17" ht="90" customHeight="1" x14ac:dyDescent="0.25">
      <c r="B172" s="611">
        <v>44889</v>
      </c>
      <c r="C172" s="611">
        <v>44889</v>
      </c>
      <c r="D172" s="612" t="s">
        <v>4658</v>
      </c>
      <c r="E172" s="632" t="s">
        <v>4792</v>
      </c>
      <c r="F172" s="613" t="s">
        <v>4760</v>
      </c>
      <c r="G172" s="612" t="s">
        <v>4667</v>
      </c>
      <c r="H172" s="613" t="s">
        <v>3856</v>
      </c>
      <c r="I172" s="612" t="s">
        <v>4662</v>
      </c>
      <c r="J172" s="614">
        <v>21823</v>
      </c>
      <c r="K172" s="614">
        <v>54.38</v>
      </c>
      <c r="L172" s="873">
        <f t="shared" si="8"/>
        <v>401.30562706877527</v>
      </c>
      <c r="M172" s="612">
        <v>60</v>
      </c>
      <c r="N172" s="615">
        <f t="shared" si="9"/>
        <v>363.71666666666664</v>
      </c>
      <c r="O172" s="616">
        <f t="shared" ca="1" si="10"/>
        <v>32</v>
      </c>
      <c r="P172" s="873">
        <f t="shared" ca="1" si="11"/>
        <v>10184.066666666668</v>
      </c>
      <c r="Q172" s="612" t="s">
        <v>4663</v>
      </c>
    </row>
    <row r="173" spans="2:17" ht="90" customHeight="1" x14ac:dyDescent="0.25">
      <c r="B173" s="611">
        <v>44889</v>
      </c>
      <c r="C173" s="611">
        <v>44889</v>
      </c>
      <c r="D173" s="612" t="s">
        <v>4658</v>
      </c>
      <c r="E173" s="632" t="s">
        <v>4793</v>
      </c>
      <c r="F173" s="613" t="s">
        <v>4760</v>
      </c>
      <c r="G173" s="612" t="s">
        <v>4667</v>
      </c>
      <c r="H173" s="613" t="s">
        <v>3856</v>
      </c>
      <c r="I173" s="612" t="s">
        <v>4662</v>
      </c>
      <c r="J173" s="614">
        <v>21823</v>
      </c>
      <c r="K173" s="614">
        <v>54.38</v>
      </c>
      <c r="L173" s="873">
        <f t="shared" si="8"/>
        <v>401.30562706877527</v>
      </c>
      <c r="M173" s="612">
        <v>60</v>
      </c>
      <c r="N173" s="615">
        <f t="shared" si="9"/>
        <v>363.71666666666664</v>
      </c>
      <c r="O173" s="616">
        <f t="shared" ca="1" si="10"/>
        <v>32</v>
      </c>
      <c r="P173" s="873">
        <f t="shared" ca="1" si="11"/>
        <v>10184.066666666668</v>
      </c>
      <c r="Q173" s="612" t="s">
        <v>4663</v>
      </c>
    </row>
    <row r="174" spans="2:17" ht="90" customHeight="1" x14ac:dyDescent="0.25">
      <c r="B174" s="611">
        <v>44889</v>
      </c>
      <c r="C174" s="611">
        <v>44889</v>
      </c>
      <c r="D174" s="612" t="s">
        <v>4658</v>
      </c>
      <c r="E174" s="632" t="s">
        <v>4794</v>
      </c>
      <c r="F174" s="613" t="s">
        <v>4760</v>
      </c>
      <c r="G174" s="612" t="s">
        <v>4667</v>
      </c>
      <c r="H174" s="613" t="s">
        <v>3856</v>
      </c>
      <c r="I174" s="612" t="s">
        <v>4662</v>
      </c>
      <c r="J174" s="614">
        <v>21823</v>
      </c>
      <c r="K174" s="614">
        <v>54.38</v>
      </c>
      <c r="L174" s="873">
        <f t="shared" si="8"/>
        <v>401.30562706877527</v>
      </c>
      <c r="M174" s="612">
        <v>60</v>
      </c>
      <c r="N174" s="615">
        <f t="shared" si="9"/>
        <v>363.71666666666664</v>
      </c>
      <c r="O174" s="616">
        <f t="shared" ca="1" si="10"/>
        <v>32</v>
      </c>
      <c r="P174" s="873">
        <f t="shared" ca="1" si="11"/>
        <v>10184.066666666668</v>
      </c>
      <c r="Q174" s="612" t="s">
        <v>4663</v>
      </c>
    </row>
    <row r="175" spans="2:17" ht="90" customHeight="1" x14ac:dyDescent="0.25">
      <c r="B175" s="611">
        <v>44889</v>
      </c>
      <c r="C175" s="611">
        <v>44889</v>
      </c>
      <c r="D175" s="612" t="s">
        <v>4658</v>
      </c>
      <c r="E175" s="632" t="s">
        <v>4795</v>
      </c>
      <c r="F175" s="613" t="s">
        <v>4760</v>
      </c>
      <c r="G175" s="612" t="s">
        <v>4667</v>
      </c>
      <c r="H175" s="613" t="s">
        <v>3856</v>
      </c>
      <c r="I175" s="612" t="s">
        <v>4662</v>
      </c>
      <c r="J175" s="614">
        <v>21823</v>
      </c>
      <c r="K175" s="614">
        <v>54.38</v>
      </c>
      <c r="L175" s="873">
        <f t="shared" si="8"/>
        <v>401.30562706877527</v>
      </c>
      <c r="M175" s="612">
        <v>60</v>
      </c>
      <c r="N175" s="615">
        <f t="shared" si="9"/>
        <v>363.71666666666664</v>
      </c>
      <c r="O175" s="616">
        <f t="shared" ca="1" si="10"/>
        <v>32</v>
      </c>
      <c r="P175" s="873">
        <f t="shared" ca="1" si="11"/>
        <v>10184.066666666668</v>
      </c>
      <c r="Q175" s="612" t="s">
        <v>4663</v>
      </c>
    </row>
    <row r="176" spans="2:17" ht="90" customHeight="1" x14ac:dyDescent="0.25">
      <c r="B176" s="611">
        <v>44889</v>
      </c>
      <c r="C176" s="611">
        <v>44889</v>
      </c>
      <c r="D176" s="612" t="s">
        <v>4658</v>
      </c>
      <c r="E176" s="632" t="s">
        <v>4796</v>
      </c>
      <c r="F176" s="613" t="s">
        <v>4760</v>
      </c>
      <c r="G176" s="612" t="s">
        <v>4667</v>
      </c>
      <c r="H176" s="613" t="s">
        <v>3856</v>
      </c>
      <c r="I176" s="612" t="s">
        <v>4662</v>
      </c>
      <c r="J176" s="614">
        <v>21823</v>
      </c>
      <c r="K176" s="614">
        <v>54.38</v>
      </c>
      <c r="L176" s="873">
        <f t="shared" si="8"/>
        <v>401.30562706877527</v>
      </c>
      <c r="M176" s="612">
        <v>60</v>
      </c>
      <c r="N176" s="615">
        <f t="shared" si="9"/>
        <v>363.71666666666664</v>
      </c>
      <c r="O176" s="616">
        <f t="shared" ca="1" si="10"/>
        <v>32</v>
      </c>
      <c r="P176" s="873">
        <f t="shared" ca="1" si="11"/>
        <v>10184.066666666668</v>
      </c>
      <c r="Q176" s="612" t="s">
        <v>4663</v>
      </c>
    </row>
    <row r="177" spans="2:17" ht="90" customHeight="1" x14ac:dyDescent="0.25">
      <c r="B177" s="611">
        <v>44889</v>
      </c>
      <c r="C177" s="611">
        <v>44889</v>
      </c>
      <c r="D177" s="612" t="s">
        <v>4658</v>
      </c>
      <c r="E177" s="632" t="s">
        <v>4797</v>
      </c>
      <c r="F177" s="613" t="s">
        <v>4760</v>
      </c>
      <c r="G177" s="612" t="s">
        <v>4667</v>
      </c>
      <c r="H177" s="613" t="s">
        <v>3856</v>
      </c>
      <c r="I177" s="612" t="s">
        <v>4662</v>
      </c>
      <c r="J177" s="614">
        <v>21823</v>
      </c>
      <c r="K177" s="614">
        <v>54.38</v>
      </c>
      <c r="L177" s="873">
        <f t="shared" si="8"/>
        <v>401.30562706877527</v>
      </c>
      <c r="M177" s="612">
        <v>60</v>
      </c>
      <c r="N177" s="615">
        <f t="shared" si="9"/>
        <v>363.71666666666664</v>
      </c>
      <c r="O177" s="616">
        <f t="shared" ca="1" si="10"/>
        <v>32</v>
      </c>
      <c r="P177" s="873">
        <f t="shared" ca="1" si="11"/>
        <v>10184.066666666668</v>
      </c>
      <c r="Q177" s="612" t="s">
        <v>4663</v>
      </c>
    </row>
    <row r="178" spans="2:17" ht="90" customHeight="1" x14ac:dyDescent="0.25">
      <c r="B178" s="611">
        <v>44889</v>
      </c>
      <c r="C178" s="611">
        <v>44889</v>
      </c>
      <c r="D178" s="612" t="s">
        <v>4658</v>
      </c>
      <c r="E178" s="632" t="s">
        <v>4798</v>
      </c>
      <c r="F178" s="613" t="s">
        <v>4760</v>
      </c>
      <c r="G178" s="612" t="s">
        <v>4667</v>
      </c>
      <c r="H178" s="613" t="s">
        <v>3856</v>
      </c>
      <c r="I178" s="612" t="s">
        <v>4662</v>
      </c>
      <c r="J178" s="614">
        <v>21823</v>
      </c>
      <c r="K178" s="614">
        <v>54.38</v>
      </c>
      <c r="L178" s="873">
        <f t="shared" si="8"/>
        <v>401.30562706877527</v>
      </c>
      <c r="M178" s="612">
        <v>60</v>
      </c>
      <c r="N178" s="615">
        <f t="shared" si="9"/>
        <v>363.71666666666664</v>
      </c>
      <c r="O178" s="616">
        <f t="shared" ca="1" si="10"/>
        <v>32</v>
      </c>
      <c r="P178" s="873">
        <f t="shared" ca="1" si="11"/>
        <v>10184.066666666668</v>
      </c>
      <c r="Q178" s="612" t="s">
        <v>4663</v>
      </c>
    </row>
    <row r="179" spans="2:17" ht="90" customHeight="1" x14ac:dyDescent="0.25">
      <c r="B179" s="611">
        <v>44889</v>
      </c>
      <c r="C179" s="611">
        <v>44889</v>
      </c>
      <c r="D179" s="612" t="s">
        <v>4658</v>
      </c>
      <c r="E179" s="632" t="s">
        <v>4799</v>
      </c>
      <c r="F179" s="613" t="s">
        <v>4760</v>
      </c>
      <c r="G179" s="612" t="s">
        <v>4667</v>
      </c>
      <c r="H179" s="613" t="s">
        <v>3856</v>
      </c>
      <c r="I179" s="612" t="s">
        <v>4662</v>
      </c>
      <c r="J179" s="614">
        <v>21823</v>
      </c>
      <c r="K179" s="614">
        <v>54.38</v>
      </c>
      <c r="L179" s="873">
        <f t="shared" si="8"/>
        <v>401.30562706877527</v>
      </c>
      <c r="M179" s="612">
        <v>60</v>
      </c>
      <c r="N179" s="615">
        <f t="shared" si="9"/>
        <v>363.71666666666664</v>
      </c>
      <c r="O179" s="616">
        <f t="shared" ca="1" si="10"/>
        <v>32</v>
      </c>
      <c r="P179" s="873">
        <f t="shared" ca="1" si="11"/>
        <v>10184.066666666668</v>
      </c>
      <c r="Q179" s="612" t="s">
        <v>4663</v>
      </c>
    </row>
    <row r="180" spans="2:17" ht="90" customHeight="1" x14ac:dyDescent="0.25">
      <c r="B180" s="611">
        <v>44889</v>
      </c>
      <c r="C180" s="611">
        <v>44889</v>
      </c>
      <c r="D180" s="612" t="s">
        <v>4658</v>
      </c>
      <c r="E180" s="632" t="s">
        <v>4800</v>
      </c>
      <c r="F180" s="613" t="s">
        <v>4760</v>
      </c>
      <c r="G180" s="612" t="s">
        <v>4667</v>
      </c>
      <c r="H180" s="613" t="s">
        <v>3856</v>
      </c>
      <c r="I180" s="612" t="s">
        <v>4662</v>
      </c>
      <c r="J180" s="614">
        <v>21823</v>
      </c>
      <c r="K180" s="614">
        <v>54.38</v>
      </c>
      <c r="L180" s="873">
        <f t="shared" si="8"/>
        <v>401.30562706877527</v>
      </c>
      <c r="M180" s="612">
        <v>60</v>
      </c>
      <c r="N180" s="615">
        <f t="shared" si="9"/>
        <v>363.71666666666664</v>
      </c>
      <c r="O180" s="616">
        <f t="shared" ca="1" si="10"/>
        <v>32</v>
      </c>
      <c r="P180" s="873">
        <f t="shared" ca="1" si="11"/>
        <v>10184.066666666668</v>
      </c>
      <c r="Q180" s="612" t="s">
        <v>4663</v>
      </c>
    </row>
    <row r="181" spans="2:17" ht="90" customHeight="1" x14ac:dyDescent="0.25">
      <c r="B181" s="611">
        <v>44889</v>
      </c>
      <c r="C181" s="611">
        <v>44889</v>
      </c>
      <c r="D181" s="612" t="s">
        <v>4658</v>
      </c>
      <c r="E181" s="632" t="s">
        <v>4801</v>
      </c>
      <c r="F181" s="613" t="s">
        <v>4760</v>
      </c>
      <c r="G181" s="612" t="s">
        <v>4667</v>
      </c>
      <c r="H181" s="613" t="s">
        <v>3856</v>
      </c>
      <c r="I181" s="612" t="s">
        <v>4662</v>
      </c>
      <c r="J181" s="614">
        <v>21823</v>
      </c>
      <c r="K181" s="614">
        <v>54.38</v>
      </c>
      <c r="L181" s="873">
        <f t="shared" si="8"/>
        <v>401.30562706877527</v>
      </c>
      <c r="M181" s="612">
        <v>60</v>
      </c>
      <c r="N181" s="615">
        <f t="shared" si="9"/>
        <v>363.71666666666664</v>
      </c>
      <c r="O181" s="616">
        <f t="shared" ca="1" si="10"/>
        <v>32</v>
      </c>
      <c r="P181" s="873">
        <f t="shared" ca="1" si="11"/>
        <v>10184.066666666668</v>
      </c>
      <c r="Q181" s="612" t="s">
        <v>4663</v>
      </c>
    </row>
    <row r="182" spans="2:17" ht="90" customHeight="1" x14ac:dyDescent="0.25">
      <c r="B182" s="611">
        <v>44889</v>
      </c>
      <c r="C182" s="611">
        <v>44889</v>
      </c>
      <c r="D182" s="612" t="s">
        <v>4658</v>
      </c>
      <c r="E182" s="632" t="s">
        <v>4802</v>
      </c>
      <c r="F182" s="613" t="s">
        <v>4760</v>
      </c>
      <c r="G182" s="612" t="s">
        <v>4667</v>
      </c>
      <c r="H182" s="613" t="s">
        <v>3856</v>
      </c>
      <c r="I182" s="612" t="s">
        <v>4662</v>
      </c>
      <c r="J182" s="614">
        <v>21823</v>
      </c>
      <c r="K182" s="614">
        <v>54.38</v>
      </c>
      <c r="L182" s="873">
        <f t="shared" si="8"/>
        <v>401.30562706877527</v>
      </c>
      <c r="M182" s="612">
        <v>60</v>
      </c>
      <c r="N182" s="615">
        <f t="shared" si="9"/>
        <v>363.71666666666664</v>
      </c>
      <c r="O182" s="616">
        <f t="shared" ca="1" si="10"/>
        <v>32</v>
      </c>
      <c r="P182" s="873">
        <f t="shared" ca="1" si="11"/>
        <v>10184.066666666668</v>
      </c>
      <c r="Q182" s="612" t="s">
        <v>4663</v>
      </c>
    </row>
    <row r="183" spans="2:17" ht="90" customHeight="1" x14ac:dyDescent="0.25">
      <c r="B183" s="611">
        <v>44889</v>
      </c>
      <c r="C183" s="611">
        <v>44889</v>
      </c>
      <c r="D183" s="612" t="s">
        <v>4658</v>
      </c>
      <c r="E183" s="632" t="s">
        <v>4803</v>
      </c>
      <c r="F183" s="613" t="s">
        <v>4760</v>
      </c>
      <c r="G183" s="612" t="s">
        <v>4667</v>
      </c>
      <c r="H183" s="613" t="s">
        <v>3856</v>
      </c>
      <c r="I183" s="612" t="s">
        <v>4662</v>
      </c>
      <c r="J183" s="614">
        <v>21823</v>
      </c>
      <c r="K183" s="614">
        <v>54.38</v>
      </c>
      <c r="L183" s="873">
        <f t="shared" si="8"/>
        <v>401.30562706877527</v>
      </c>
      <c r="M183" s="612">
        <v>60</v>
      </c>
      <c r="N183" s="615">
        <f t="shared" si="9"/>
        <v>363.71666666666664</v>
      </c>
      <c r="O183" s="616">
        <f t="shared" ca="1" si="10"/>
        <v>32</v>
      </c>
      <c r="P183" s="873">
        <f t="shared" ca="1" si="11"/>
        <v>10184.066666666668</v>
      </c>
      <c r="Q183" s="612" t="s">
        <v>4663</v>
      </c>
    </row>
    <row r="184" spans="2:17" ht="90" customHeight="1" x14ac:dyDescent="0.25">
      <c r="B184" s="611">
        <v>44889</v>
      </c>
      <c r="C184" s="611">
        <v>44889</v>
      </c>
      <c r="D184" s="612" t="s">
        <v>4658</v>
      </c>
      <c r="E184" s="632" t="s">
        <v>4804</v>
      </c>
      <c r="F184" s="613" t="s">
        <v>4760</v>
      </c>
      <c r="G184" s="612" t="s">
        <v>4667</v>
      </c>
      <c r="H184" s="613" t="s">
        <v>3856</v>
      </c>
      <c r="I184" s="612" t="s">
        <v>4662</v>
      </c>
      <c r="J184" s="614">
        <v>21823</v>
      </c>
      <c r="K184" s="614">
        <v>54.38</v>
      </c>
      <c r="L184" s="873">
        <f t="shared" si="8"/>
        <v>401.30562706877527</v>
      </c>
      <c r="M184" s="612">
        <v>60</v>
      </c>
      <c r="N184" s="615">
        <f t="shared" si="9"/>
        <v>363.71666666666664</v>
      </c>
      <c r="O184" s="616">
        <f t="shared" ca="1" si="10"/>
        <v>32</v>
      </c>
      <c r="P184" s="873">
        <f t="shared" ca="1" si="11"/>
        <v>10184.066666666668</v>
      </c>
      <c r="Q184" s="612" t="s">
        <v>4663</v>
      </c>
    </row>
    <row r="185" spans="2:17" ht="90" customHeight="1" x14ac:dyDescent="0.25">
      <c r="B185" s="611">
        <v>44889</v>
      </c>
      <c r="C185" s="611">
        <v>44889</v>
      </c>
      <c r="D185" s="612" t="s">
        <v>4658</v>
      </c>
      <c r="E185" s="632" t="s">
        <v>4805</v>
      </c>
      <c r="F185" s="613" t="s">
        <v>4760</v>
      </c>
      <c r="G185" s="612" t="s">
        <v>4667</v>
      </c>
      <c r="H185" s="613" t="s">
        <v>3856</v>
      </c>
      <c r="I185" s="612" t="s">
        <v>4662</v>
      </c>
      <c r="J185" s="614">
        <v>21823</v>
      </c>
      <c r="K185" s="614">
        <v>54.38</v>
      </c>
      <c r="L185" s="873">
        <f t="shared" si="8"/>
        <v>401.30562706877527</v>
      </c>
      <c r="M185" s="612">
        <v>60</v>
      </c>
      <c r="N185" s="615">
        <f t="shared" si="9"/>
        <v>363.71666666666664</v>
      </c>
      <c r="O185" s="616">
        <f t="shared" ca="1" si="10"/>
        <v>32</v>
      </c>
      <c r="P185" s="873">
        <f t="shared" ca="1" si="11"/>
        <v>10184.066666666668</v>
      </c>
      <c r="Q185" s="612" t="s">
        <v>4663</v>
      </c>
    </row>
    <row r="186" spans="2:17" ht="90" customHeight="1" x14ac:dyDescent="0.25">
      <c r="B186" s="611">
        <v>44889</v>
      </c>
      <c r="C186" s="611">
        <v>44889</v>
      </c>
      <c r="D186" s="612" t="s">
        <v>4658</v>
      </c>
      <c r="E186" s="632" t="s">
        <v>4806</v>
      </c>
      <c r="F186" s="613" t="s">
        <v>4760</v>
      </c>
      <c r="G186" s="612" t="s">
        <v>4667</v>
      </c>
      <c r="H186" s="613" t="s">
        <v>3856</v>
      </c>
      <c r="I186" s="612" t="s">
        <v>4662</v>
      </c>
      <c r="J186" s="614">
        <v>21823</v>
      </c>
      <c r="K186" s="614">
        <v>54.38</v>
      </c>
      <c r="L186" s="873">
        <f t="shared" si="8"/>
        <v>401.30562706877527</v>
      </c>
      <c r="M186" s="612">
        <v>60</v>
      </c>
      <c r="N186" s="615">
        <f t="shared" si="9"/>
        <v>363.71666666666664</v>
      </c>
      <c r="O186" s="616">
        <f t="shared" ca="1" si="10"/>
        <v>32</v>
      </c>
      <c r="P186" s="873">
        <f t="shared" ca="1" si="11"/>
        <v>10184.066666666668</v>
      </c>
      <c r="Q186" s="612" t="s">
        <v>4663</v>
      </c>
    </row>
    <row r="187" spans="2:17" ht="90" customHeight="1" x14ac:dyDescent="0.25">
      <c r="B187" s="611">
        <v>44889</v>
      </c>
      <c r="C187" s="611">
        <v>44889</v>
      </c>
      <c r="D187" s="612" t="s">
        <v>4658</v>
      </c>
      <c r="E187" s="632" t="s">
        <v>4807</v>
      </c>
      <c r="F187" s="613" t="s">
        <v>4760</v>
      </c>
      <c r="G187" s="612" t="s">
        <v>4667</v>
      </c>
      <c r="H187" s="613" t="s">
        <v>3856</v>
      </c>
      <c r="I187" s="612" t="s">
        <v>4662</v>
      </c>
      <c r="J187" s="614">
        <v>21823</v>
      </c>
      <c r="K187" s="614">
        <v>54.38</v>
      </c>
      <c r="L187" s="873">
        <f t="shared" si="8"/>
        <v>401.30562706877527</v>
      </c>
      <c r="M187" s="612">
        <v>60</v>
      </c>
      <c r="N187" s="615">
        <f t="shared" si="9"/>
        <v>363.71666666666664</v>
      </c>
      <c r="O187" s="616">
        <f t="shared" ca="1" si="10"/>
        <v>32</v>
      </c>
      <c r="P187" s="873">
        <f t="shared" ca="1" si="11"/>
        <v>10184.066666666668</v>
      </c>
      <c r="Q187" s="612" t="s">
        <v>4663</v>
      </c>
    </row>
    <row r="188" spans="2:17" ht="90" customHeight="1" x14ac:dyDescent="0.25">
      <c r="B188" s="611">
        <v>44889</v>
      </c>
      <c r="C188" s="611">
        <v>44889</v>
      </c>
      <c r="D188" s="612" t="s">
        <v>4658</v>
      </c>
      <c r="E188" s="632" t="s">
        <v>4808</v>
      </c>
      <c r="F188" s="613" t="s">
        <v>4760</v>
      </c>
      <c r="G188" s="612" t="s">
        <v>4667</v>
      </c>
      <c r="H188" s="613" t="s">
        <v>3856</v>
      </c>
      <c r="I188" s="612" t="s">
        <v>4662</v>
      </c>
      <c r="J188" s="614">
        <v>21823</v>
      </c>
      <c r="K188" s="614">
        <v>54.38</v>
      </c>
      <c r="L188" s="873">
        <f t="shared" si="8"/>
        <v>401.30562706877527</v>
      </c>
      <c r="M188" s="612">
        <v>60</v>
      </c>
      <c r="N188" s="615">
        <f t="shared" si="9"/>
        <v>363.71666666666664</v>
      </c>
      <c r="O188" s="616">
        <f t="shared" ca="1" si="10"/>
        <v>32</v>
      </c>
      <c r="P188" s="873">
        <f t="shared" ca="1" si="11"/>
        <v>10184.066666666668</v>
      </c>
      <c r="Q188" s="612" t="s">
        <v>4663</v>
      </c>
    </row>
    <row r="189" spans="2:17" ht="90" customHeight="1" x14ac:dyDescent="0.25">
      <c r="B189" s="611">
        <v>44889</v>
      </c>
      <c r="C189" s="611">
        <v>44889</v>
      </c>
      <c r="D189" s="612" t="s">
        <v>4658</v>
      </c>
      <c r="E189" s="632" t="s">
        <v>4809</v>
      </c>
      <c r="F189" s="613" t="s">
        <v>4760</v>
      </c>
      <c r="G189" s="612" t="s">
        <v>4667</v>
      </c>
      <c r="H189" s="613" t="s">
        <v>3856</v>
      </c>
      <c r="I189" s="612" t="s">
        <v>4662</v>
      </c>
      <c r="J189" s="614">
        <v>21823</v>
      </c>
      <c r="K189" s="614">
        <v>54.38</v>
      </c>
      <c r="L189" s="873">
        <f t="shared" si="8"/>
        <v>401.30562706877527</v>
      </c>
      <c r="M189" s="612">
        <v>60</v>
      </c>
      <c r="N189" s="615">
        <f t="shared" si="9"/>
        <v>363.71666666666664</v>
      </c>
      <c r="O189" s="616">
        <f t="shared" ca="1" si="10"/>
        <v>32</v>
      </c>
      <c r="P189" s="873">
        <f t="shared" ca="1" si="11"/>
        <v>10184.066666666668</v>
      </c>
      <c r="Q189" s="612" t="s">
        <v>4663</v>
      </c>
    </row>
    <row r="190" spans="2:17" ht="150" customHeight="1" x14ac:dyDescent="0.25">
      <c r="B190" s="611">
        <v>44909</v>
      </c>
      <c r="C190" s="611">
        <v>44998</v>
      </c>
      <c r="D190" s="612" t="s">
        <v>4810</v>
      </c>
      <c r="E190" s="618" t="s">
        <v>6978</v>
      </c>
      <c r="F190" s="619" t="s">
        <v>4811</v>
      </c>
      <c r="G190" s="612" t="s">
        <v>18</v>
      </c>
      <c r="H190" s="613" t="s">
        <v>6979</v>
      </c>
      <c r="I190" s="613" t="s">
        <v>4569</v>
      </c>
      <c r="J190" s="620">
        <v>398323.20000000001</v>
      </c>
      <c r="K190" s="614">
        <v>55.2</v>
      </c>
      <c r="L190" s="873">
        <f t="shared" si="8"/>
        <v>7216</v>
      </c>
      <c r="M190" s="612">
        <v>60</v>
      </c>
      <c r="N190" s="615">
        <f t="shared" si="9"/>
        <v>6638.72</v>
      </c>
      <c r="O190" s="616">
        <f ca="1">IF(C190&lt;&gt;0,(ROUND((NOW()-C190)/30,0)),0)</f>
        <v>28</v>
      </c>
      <c r="P190" s="873">
        <f t="shared" ca="1" si="11"/>
        <v>212439.04000000001</v>
      </c>
      <c r="Q190" s="613" t="s">
        <v>4812</v>
      </c>
    </row>
    <row r="191" spans="2:17" ht="150" customHeight="1" x14ac:dyDescent="0.25">
      <c r="B191" s="611">
        <v>44909</v>
      </c>
      <c r="C191" s="611">
        <v>44998</v>
      </c>
      <c r="D191" s="612" t="s">
        <v>4810</v>
      </c>
      <c r="E191" s="618" t="s">
        <v>6980</v>
      </c>
      <c r="F191" s="619" t="s">
        <v>4813</v>
      </c>
      <c r="G191" s="612" t="s">
        <v>18</v>
      </c>
      <c r="H191" s="613" t="s">
        <v>6979</v>
      </c>
      <c r="I191" s="613" t="s">
        <v>4569</v>
      </c>
      <c r="J191" s="620">
        <v>398323.20000000001</v>
      </c>
      <c r="K191" s="614">
        <v>55.2</v>
      </c>
      <c r="L191" s="873">
        <f t="shared" si="8"/>
        <v>7216</v>
      </c>
      <c r="M191" s="612">
        <v>60</v>
      </c>
      <c r="N191" s="615">
        <f t="shared" si="9"/>
        <v>6638.72</v>
      </c>
      <c r="O191" s="616">
        <f t="shared" ref="O191:O263" ca="1" si="12">IF(B191&lt;&gt;0,(ROUND((NOW()-B191)/30,0)),0)</f>
        <v>31</v>
      </c>
      <c r="P191" s="873">
        <f t="shared" ca="1" si="11"/>
        <v>192522.88</v>
      </c>
      <c r="Q191" s="613" t="s">
        <v>4812</v>
      </c>
    </row>
    <row r="192" spans="2:17" ht="120" customHeight="1" x14ac:dyDescent="0.25">
      <c r="B192" s="611">
        <v>44909</v>
      </c>
      <c r="C192" s="611">
        <v>44998</v>
      </c>
      <c r="D192" s="612" t="s">
        <v>4810</v>
      </c>
      <c r="E192" s="618" t="s">
        <v>4814</v>
      </c>
      <c r="F192" s="622" t="s">
        <v>4815</v>
      </c>
      <c r="G192" s="612" t="s">
        <v>18</v>
      </c>
      <c r="H192" s="613" t="s">
        <v>4569</v>
      </c>
      <c r="I192" s="613" t="s">
        <v>4569</v>
      </c>
      <c r="J192" s="623">
        <v>707443.19999999995</v>
      </c>
      <c r="K192" s="614">
        <v>55.2</v>
      </c>
      <c r="L192" s="873">
        <f t="shared" si="8"/>
        <v>12815.999999999998</v>
      </c>
      <c r="M192" s="612">
        <v>60</v>
      </c>
      <c r="N192" s="615">
        <f t="shared" si="9"/>
        <v>11790.72</v>
      </c>
      <c r="O192" s="616">
        <f t="shared" ca="1" si="12"/>
        <v>31</v>
      </c>
      <c r="P192" s="873">
        <f t="shared" ca="1" si="11"/>
        <v>341930.87999999995</v>
      </c>
      <c r="Q192" s="613" t="s">
        <v>4812</v>
      </c>
    </row>
    <row r="193" spans="2:17" ht="120" customHeight="1" x14ac:dyDescent="0.25">
      <c r="B193" s="611">
        <v>44909</v>
      </c>
      <c r="C193" s="611">
        <v>44998</v>
      </c>
      <c r="D193" s="612" t="s">
        <v>4810</v>
      </c>
      <c r="E193" s="618" t="s">
        <v>4816</v>
      </c>
      <c r="F193" s="622" t="s">
        <v>4815</v>
      </c>
      <c r="G193" s="612" t="s">
        <v>18</v>
      </c>
      <c r="H193" s="613" t="s">
        <v>4569</v>
      </c>
      <c r="I193" s="613" t="s">
        <v>4569</v>
      </c>
      <c r="J193" s="623">
        <v>707443.19999999995</v>
      </c>
      <c r="K193" s="614">
        <v>55.2</v>
      </c>
      <c r="L193" s="873">
        <f t="shared" si="8"/>
        <v>12815.999999999998</v>
      </c>
      <c r="M193" s="612">
        <v>60</v>
      </c>
      <c r="N193" s="615">
        <f t="shared" si="9"/>
        <v>11790.72</v>
      </c>
      <c r="O193" s="616">
        <f t="shared" ca="1" si="12"/>
        <v>31</v>
      </c>
      <c r="P193" s="873">
        <f t="shared" ca="1" si="11"/>
        <v>341930.87999999995</v>
      </c>
      <c r="Q193" s="613" t="s">
        <v>4812</v>
      </c>
    </row>
    <row r="194" spans="2:17" ht="60" customHeight="1" x14ac:dyDescent="0.25">
      <c r="B194" s="611">
        <v>44909</v>
      </c>
      <c r="C194" s="611">
        <v>44998</v>
      </c>
      <c r="D194" s="612" t="s">
        <v>4810</v>
      </c>
      <c r="E194" s="618" t="s">
        <v>4817</v>
      </c>
      <c r="F194" s="622" t="s">
        <v>4818</v>
      </c>
      <c r="G194" s="612" t="s">
        <v>18</v>
      </c>
      <c r="H194" s="613" t="s">
        <v>4569</v>
      </c>
      <c r="I194" s="613" t="s">
        <v>4569</v>
      </c>
      <c r="J194" s="620">
        <v>1391178</v>
      </c>
      <c r="K194" s="614">
        <v>55.2</v>
      </c>
      <c r="L194" s="873">
        <f t="shared" si="8"/>
        <v>25202.5</v>
      </c>
      <c r="M194" s="612">
        <v>60</v>
      </c>
      <c r="N194" s="615">
        <f t="shared" si="9"/>
        <v>23186.3</v>
      </c>
      <c r="O194" s="616">
        <f t="shared" ca="1" si="12"/>
        <v>31</v>
      </c>
      <c r="P194" s="873">
        <f t="shared" ca="1" si="11"/>
        <v>672402.70000000007</v>
      </c>
      <c r="Q194" s="613" t="s">
        <v>4812</v>
      </c>
    </row>
    <row r="195" spans="2:17" ht="60" customHeight="1" x14ac:dyDescent="0.25">
      <c r="B195" s="611">
        <v>44909</v>
      </c>
      <c r="C195" s="611">
        <v>44998</v>
      </c>
      <c r="D195" s="612" t="s">
        <v>4810</v>
      </c>
      <c r="E195" s="618" t="s">
        <v>4819</v>
      </c>
      <c r="F195" s="622" t="s">
        <v>4818</v>
      </c>
      <c r="G195" s="612" t="s">
        <v>18</v>
      </c>
      <c r="H195" s="613" t="s">
        <v>4569</v>
      </c>
      <c r="I195" s="613" t="s">
        <v>4569</v>
      </c>
      <c r="J195" s="620">
        <v>1391178</v>
      </c>
      <c r="K195" s="614">
        <v>55.2</v>
      </c>
      <c r="L195" s="873">
        <f t="shared" si="8"/>
        <v>25202.5</v>
      </c>
      <c r="M195" s="612">
        <v>60</v>
      </c>
      <c r="N195" s="615">
        <f t="shared" si="9"/>
        <v>23186.3</v>
      </c>
      <c r="O195" s="616">
        <f t="shared" ca="1" si="12"/>
        <v>31</v>
      </c>
      <c r="P195" s="873">
        <f t="shared" ca="1" si="11"/>
        <v>672402.70000000007</v>
      </c>
      <c r="Q195" s="613" t="s">
        <v>4812</v>
      </c>
    </row>
    <row r="196" spans="2:17" ht="60" customHeight="1" x14ac:dyDescent="0.25">
      <c r="B196" s="611">
        <v>44909</v>
      </c>
      <c r="C196" s="611">
        <v>44998</v>
      </c>
      <c r="D196" s="612" t="s">
        <v>4810</v>
      </c>
      <c r="E196" s="618" t="s">
        <v>4820</v>
      </c>
      <c r="F196" s="622" t="s">
        <v>4818</v>
      </c>
      <c r="G196" s="612" t="s">
        <v>18</v>
      </c>
      <c r="H196" s="613" t="s">
        <v>4569</v>
      </c>
      <c r="I196" s="613" t="s">
        <v>4569</v>
      </c>
      <c r="J196" s="620">
        <v>1391178</v>
      </c>
      <c r="K196" s="614">
        <v>55.2</v>
      </c>
      <c r="L196" s="873">
        <f t="shared" si="8"/>
        <v>25202.5</v>
      </c>
      <c r="M196" s="612">
        <v>60</v>
      </c>
      <c r="N196" s="615">
        <f t="shared" si="9"/>
        <v>23186.3</v>
      </c>
      <c r="O196" s="616">
        <f t="shared" ca="1" si="12"/>
        <v>31</v>
      </c>
      <c r="P196" s="873">
        <f t="shared" ca="1" si="11"/>
        <v>672402.70000000007</v>
      </c>
      <c r="Q196" s="613" t="s">
        <v>4812</v>
      </c>
    </row>
    <row r="197" spans="2:17" ht="75" customHeight="1" x14ac:dyDescent="0.25">
      <c r="B197" s="611">
        <v>44909</v>
      </c>
      <c r="C197" s="611">
        <v>44998</v>
      </c>
      <c r="D197" s="612" t="s">
        <v>4810</v>
      </c>
      <c r="E197" s="618" t="s">
        <v>6981</v>
      </c>
      <c r="F197" s="622" t="s">
        <v>4821</v>
      </c>
      <c r="G197" s="612" t="s">
        <v>18</v>
      </c>
      <c r="H197" s="613" t="s">
        <v>4569</v>
      </c>
      <c r="I197" s="613" t="s">
        <v>4569</v>
      </c>
      <c r="J197" s="620">
        <v>56105.279999999999</v>
      </c>
      <c r="K197" s="614">
        <v>55.2</v>
      </c>
      <c r="L197" s="873">
        <f t="shared" si="8"/>
        <v>1016.4</v>
      </c>
      <c r="M197" s="612">
        <v>60</v>
      </c>
      <c r="N197" s="615">
        <f t="shared" si="9"/>
        <v>935.08799999999997</v>
      </c>
      <c r="O197" s="616">
        <f t="shared" ca="1" si="12"/>
        <v>31</v>
      </c>
      <c r="P197" s="873">
        <f t="shared" ca="1" si="11"/>
        <v>27117.552</v>
      </c>
      <c r="Q197" s="613" t="s">
        <v>4812</v>
      </c>
    </row>
    <row r="198" spans="2:17" ht="75" customHeight="1" x14ac:dyDescent="0.25">
      <c r="B198" s="611">
        <v>44909</v>
      </c>
      <c r="C198" s="611">
        <v>44998</v>
      </c>
      <c r="D198" s="612" t="s">
        <v>4810</v>
      </c>
      <c r="E198" s="618" t="s">
        <v>4822</v>
      </c>
      <c r="F198" s="622" t="s">
        <v>4821</v>
      </c>
      <c r="G198" s="612" t="s">
        <v>18</v>
      </c>
      <c r="H198" s="613" t="s">
        <v>4569</v>
      </c>
      <c r="I198" s="613" t="s">
        <v>4569</v>
      </c>
      <c r="J198" s="620">
        <v>56105.279999999999</v>
      </c>
      <c r="K198" s="614">
        <v>55.2</v>
      </c>
      <c r="L198" s="873">
        <f t="shared" si="8"/>
        <v>1016.4</v>
      </c>
      <c r="M198" s="612">
        <v>60</v>
      </c>
      <c r="N198" s="615">
        <f t="shared" si="9"/>
        <v>935.08799999999997</v>
      </c>
      <c r="O198" s="616">
        <f t="shared" ca="1" si="12"/>
        <v>31</v>
      </c>
      <c r="P198" s="873">
        <f t="shared" ca="1" si="11"/>
        <v>27117.552</v>
      </c>
      <c r="Q198" s="613" t="s">
        <v>4812</v>
      </c>
    </row>
    <row r="199" spans="2:17" ht="75" customHeight="1" x14ac:dyDescent="0.25">
      <c r="B199" s="611">
        <v>44909</v>
      </c>
      <c r="C199" s="611">
        <v>44998</v>
      </c>
      <c r="D199" s="612" t="s">
        <v>4810</v>
      </c>
      <c r="E199" s="624" t="s">
        <v>4823</v>
      </c>
      <c r="F199" s="625" t="s">
        <v>4821</v>
      </c>
      <c r="G199" s="612" t="s">
        <v>18</v>
      </c>
      <c r="H199" s="626" t="s">
        <v>4569</v>
      </c>
      <c r="I199" s="626" t="s">
        <v>4569</v>
      </c>
      <c r="J199" s="620">
        <v>56105.279999999999</v>
      </c>
      <c r="K199" s="614">
        <v>55.2</v>
      </c>
      <c r="L199" s="873">
        <f t="shared" si="8"/>
        <v>1016.4</v>
      </c>
      <c r="M199" s="627">
        <v>60</v>
      </c>
      <c r="N199" s="628">
        <f t="shared" si="9"/>
        <v>935.08799999999997</v>
      </c>
      <c r="O199" s="629">
        <f t="shared" ca="1" si="12"/>
        <v>31</v>
      </c>
      <c r="P199" s="874">
        <f t="shared" ca="1" si="11"/>
        <v>27117.552</v>
      </c>
      <c r="Q199" s="626" t="s">
        <v>4812</v>
      </c>
    </row>
    <row r="200" spans="2:17" ht="105" customHeight="1" x14ac:dyDescent="0.25">
      <c r="B200" s="611">
        <v>44907</v>
      </c>
      <c r="C200" s="630">
        <v>45008</v>
      </c>
      <c r="D200" s="631" t="s">
        <v>4824</v>
      </c>
      <c r="E200" s="613" t="s">
        <v>6982</v>
      </c>
      <c r="F200" s="613" t="s">
        <v>4825</v>
      </c>
      <c r="G200" s="612" t="s">
        <v>18</v>
      </c>
      <c r="H200" s="613" t="s">
        <v>6983</v>
      </c>
      <c r="I200" s="613" t="s">
        <v>4569</v>
      </c>
      <c r="J200" s="620">
        <v>225397.05</v>
      </c>
      <c r="K200" s="614">
        <v>56.3</v>
      </c>
      <c r="L200" s="873">
        <f t="shared" ref="L200:L272" si="13">+J200/K200</f>
        <v>4003.5</v>
      </c>
      <c r="M200" s="612">
        <v>60</v>
      </c>
      <c r="N200" s="615">
        <f t="shared" ref="N200:N272" si="14">+J200/M200</f>
        <v>3756.6174999999998</v>
      </c>
      <c r="O200" s="616">
        <f ca="1">IF(C200&lt;&gt;0,(ROUND((NOW()-C200)/30,0)),0)</f>
        <v>28</v>
      </c>
      <c r="P200" s="873">
        <f t="shared" ref="P200:P272" ca="1" si="15">IF(OR(J200=0,M200=0,O200=0),0,J200-(N200*O200))</f>
        <v>120211.76</v>
      </c>
      <c r="Q200" s="626" t="s">
        <v>4812</v>
      </c>
    </row>
    <row r="201" spans="2:17" ht="105" customHeight="1" x14ac:dyDescent="0.25">
      <c r="B201" s="611">
        <v>44907</v>
      </c>
      <c r="C201" s="630">
        <v>45008</v>
      </c>
      <c r="D201" s="631" t="s">
        <v>4824</v>
      </c>
      <c r="E201" s="613" t="s">
        <v>6984</v>
      </c>
      <c r="F201" s="613" t="s">
        <v>4825</v>
      </c>
      <c r="G201" s="612" t="s">
        <v>18</v>
      </c>
      <c r="H201" s="613" t="s">
        <v>4569</v>
      </c>
      <c r="I201" s="613" t="s">
        <v>4569</v>
      </c>
      <c r="J201" s="620">
        <v>225397.05</v>
      </c>
      <c r="K201" s="614">
        <v>56.3</v>
      </c>
      <c r="L201" s="873">
        <f t="shared" si="13"/>
        <v>4003.5</v>
      </c>
      <c r="M201" s="612">
        <v>60</v>
      </c>
      <c r="N201" s="615">
        <f t="shared" si="14"/>
        <v>3756.6174999999998</v>
      </c>
      <c r="O201" s="616">
        <f t="shared" ca="1" si="12"/>
        <v>31</v>
      </c>
      <c r="P201" s="873">
        <f t="shared" ca="1" si="15"/>
        <v>108941.90749999999</v>
      </c>
      <c r="Q201" s="626" t="s">
        <v>4812</v>
      </c>
    </row>
    <row r="202" spans="2:17" ht="105" customHeight="1" x14ac:dyDescent="0.25">
      <c r="B202" s="611">
        <v>44907</v>
      </c>
      <c r="C202" s="630">
        <v>45008</v>
      </c>
      <c r="D202" s="631" t="s">
        <v>4824</v>
      </c>
      <c r="E202" s="613" t="s">
        <v>6985</v>
      </c>
      <c r="F202" s="613" t="s">
        <v>4825</v>
      </c>
      <c r="G202" s="612" t="s">
        <v>18</v>
      </c>
      <c r="H202" s="613" t="s">
        <v>4569</v>
      </c>
      <c r="I202" s="613" t="s">
        <v>4569</v>
      </c>
      <c r="J202" s="620">
        <v>225397.05</v>
      </c>
      <c r="K202" s="614">
        <v>56.3</v>
      </c>
      <c r="L202" s="873">
        <f t="shared" si="13"/>
        <v>4003.5</v>
      </c>
      <c r="M202" s="612">
        <v>60</v>
      </c>
      <c r="N202" s="615">
        <f t="shared" si="14"/>
        <v>3756.6174999999998</v>
      </c>
      <c r="O202" s="616">
        <f t="shared" ca="1" si="12"/>
        <v>31</v>
      </c>
      <c r="P202" s="873">
        <f t="shared" ca="1" si="15"/>
        <v>108941.90749999999</v>
      </c>
      <c r="Q202" s="626" t="s">
        <v>4812</v>
      </c>
    </row>
    <row r="203" spans="2:17" ht="105" customHeight="1" x14ac:dyDescent="0.25">
      <c r="B203" s="611">
        <v>44907</v>
      </c>
      <c r="C203" s="630">
        <v>45008</v>
      </c>
      <c r="D203" s="631" t="s">
        <v>4824</v>
      </c>
      <c r="E203" s="613" t="s">
        <v>6986</v>
      </c>
      <c r="F203" s="613" t="s">
        <v>4825</v>
      </c>
      <c r="G203" s="612" t="s">
        <v>18</v>
      </c>
      <c r="H203" s="613" t="s">
        <v>4569</v>
      </c>
      <c r="I203" s="613" t="s">
        <v>4569</v>
      </c>
      <c r="J203" s="620">
        <v>225397.05</v>
      </c>
      <c r="K203" s="614">
        <v>56.3</v>
      </c>
      <c r="L203" s="873">
        <f t="shared" si="13"/>
        <v>4003.5</v>
      </c>
      <c r="M203" s="612">
        <v>60</v>
      </c>
      <c r="N203" s="615">
        <f t="shared" si="14"/>
        <v>3756.6174999999998</v>
      </c>
      <c r="O203" s="616">
        <f t="shared" ca="1" si="12"/>
        <v>31</v>
      </c>
      <c r="P203" s="873">
        <f t="shared" ca="1" si="15"/>
        <v>108941.90749999999</v>
      </c>
      <c r="Q203" s="626" t="s">
        <v>4812</v>
      </c>
    </row>
    <row r="204" spans="2:17" ht="105" customHeight="1" x14ac:dyDescent="0.25">
      <c r="B204" s="611">
        <v>44907</v>
      </c>
      <c r="C204" s="630">
        <v>45008</v>
      </c>
      <c r="D204" s="631" t="s">
        <v>4824</v>
      </c>
      <c r="E204" s="613" t="s">
        <v>6987</v>
      </c>
      <c r="F204" s="613" t="s">
        <v>4826</v>
      </c>
      <c r="G204" s="612" t="s">
        <v>18</v>
      </c>
      <c r="H204" s="613" t="s">
        <v>4569</v>
      </c>
      <c r="I204" s="613" t="s">
        <v>4569</v>
      </c>
      <c r="J204" s="620">
        <v>29439.27</v>
      </c>
      <c r="K204" s="614">
        <v>56.3</v>
      </c>
      <c r="L204" s="873">
        <f t="shared" si="13"/>
        <v>522.90000000000009</v>
      </c>
      <c r="M204" s="612">
        <v>60</v>
      </c>
      <c r="N204" s="615">
        <f t="shared" si="14"/>
        <v>490.65449999999998</v>
      </c>
      <c r="O204" s="616">
        <f t="shared" ca="1" si="12"/>
        <v>31</v>
      </c>
      <c r="P204" s="873">
        <f t="shared" ca="1" si="15"/>
        <v>14228.980500000001</v>
      </c>
      <c r="Q204" s="626" t="s">
        <v>4812</v>
      </c>
    </row>
    <row r="205" spans="2:17" ht="105" customHeight="1" x14ac:dyDescent="0.25">
      <c r="B205" s="611">
        <v>44907</v>
      </c>
      <c r="C205" s="630">
        <v>45008</v>
      </c>
      <c r="D205" s="631" t="s">
        <v>4824</v>
      </c>
      <c r="E205" s="613" t="s">
        <v>4827</v>
      </c>
      <c r="F205" s="613" t="s">
        <v>4826</v>
      </c>
      <c r="G205" s="612" t="s">
        <v>18</v>
      </c>
      <c r="H205" s="613" t="s">
        <v>4569</v>
      </c>
      <c r="I205" s="613" t="s">
        <v>4569</v>
      </c>
      <c r="J205" s="620">
        <v>29439.27</v>
      </c>
      <c r="K205" s="614">
        <v>56.3</v>
      </c>
      <c r="L205" s="873">
        <f t="shared" si="13"/>
        <v>522.90000000000009</v>
      </c>
      <c r="M205" s="612">
        <v>60</v>
      </c>
      <c r="N205" s="615">
        <f t="shared" si="14"/>
        <v>490.65449999999998</v>
      </c>
      <c r="O205" s="616">
        <f t="shared" ca="1" si="12"/>
        <v>31</v>
      </c>
      <c r="P205" s="873">
        <f t="shared" ca="1" si="15"/>
        <v>14228.980500000001</v>
      </c>
      <c r="Q205" s="626" t="s">
        <v>4812</v>
      </c>
    </row>
    <row r="206" spans="2:17" ht="105" customHeight="1" x14ac:dyDescent="0.25">
      <c r="B206" s="611">
        <v>44907</v>
      </c>
      <c r="C206" s="630">
        <v>45008</v>
      </c>
      <c r="D206" s="631" t="s">
        <v>4824</v>
      </c>
      <c r="E206" s="613" t="s">
        <v>4828</v>
      </c>
      <c r="F206" s="613" t="s">
        <v>4826</v>
      </c>
      <c r="G206" s="612" t="s">
        <v>18</v>
      </c>
      <c r="H206" s="613" t="s">
        <v>4569</v>
      </c>
      <c r="I206" s="613" t="s">
        <v>4569</v>
      </c>
      <c r="J206" s="620">
        <v>29439.27</v>
      </c>
      <c r="K206" s="614">
        <v>56.3</v>
      </c>
      <c r="L206" s="873">
        <f t="shared" si="13"/>
        <v>522.90000000000009</v>
      </c>
      <c r="M206" s="612">
        <v>60</v>
      </c>
      <c r="N206" s="615">
        <f t="shared" si="14"/>
        <v>490.65449999999998</v>
      </c>
      <c r="O206" s="616">
        <f t="shared" ca="1" si="12"/>
        <v>31</v>
      </c>
      <c r="P206" s="873">
        <f t="shared" ca="1" si="15"/>
        <v>14228.980500000001</v>
      </c>
      <c r="Q206" s="626" t="s">
        <v>4812</v>
      </c>
    </row>
    <row r="207" spans="2:17" ht="105" customHeight="1" x14ac:dyDescent="0.25">
      <c r="B207" s="611">
        <v>44907</v>
      </c>
      <c r="C207" s="630">
        <v>45008</v>
      </c>
      <c r="D207" s="631" t="s">
        <v>4824</v>
      </c>
      <c r="E207" s="613" t="s">
        <v>4829</v>
      </c>
      <c r="F207" s="613" t="s">
        <v>4826</v>
      </c>
      <c r="G207" s="612" t="s">
        <v>18</v>
      </c>
      <c r="H207" s="613" t="s">
        <v>4569</v>
      </c>
      <c r="I207" s="613" t="s">
        <v>4569</v>
      </c>
      <c r="J207" s="620">
        <v>29439.27</v>
      </c>
      <c r="K207" s="614">
        <v>56.3</v>
      </c>
      <c r="L207" s="873">
        <f t="shared" si="13"/>
        <v>522.90000000000009</v>
      </c>
      <c r="M207" s="612">
        <v>60</v>
      </c>
      <c r="N207" s="615">
        <f t="shared" si="14"/>
        <v>490.65449999999998</v>
      </c>
      <c r="O207" s="616">
        <f t="shared" ca="1" si="12"/>
        <v>31</v>
      </c>
      <c r="P207" s="873">
        <f t="shared" ca="1" si="15"/>
        <v>14228.980500000001</v>
      </c>
      <c r="Q207" s="626" t="s">
        <v>4812</v>
      </c>
    </row>
    <row r="208" spans="2:17" ht="75" customHeight="1" x14ac:dyDescent="0.25">
      <c r="B208" s="611">
        <v>44907</v>
      </c>
      <c r="C208" s="630">
        <v>45008</v>
      </c>
      <c r="D208" s="631" t="s">
        <v>4824</v>
      </c>
      <c r="E208" s="613" t="s">
        <v>4830</v>
      </c>
      <c r="F208" s="613" t="s">
        <v>4831</v>
      </c>
      <c r="G208" s="612" t="s">
        <v>18</v>
      </c>
      <c r="H208" s="613" t="s">
        <v>4569</v>
      </c>
      <c r="I208" s="613" t="s">
        <v>4569</v>
      </c>
      <c r="J208" s="620">
        <v>18874.575000000001</v>
      </c>
      <c r="K208" s="614">
        <v>56.3</v>
      </c>
      <c r="L208" s="873">
        <f t="shared" si="13"/>
        <v>335.25000000000006</v>
      </c>
      <c r="M208" s="612">
        <v>60</v>
      </c>
      <c r="N208" s="615">
        <f t="shared" si="14"/>
        <v>314.57625000000002</v>
      </c>
      <c r="O208" s="616">
        <f t="shared" ca="1" si="12"/>
        <v>31</v>
      </c>
      <c r="P208" s="873">
        <f t="shared" ca="1" si="15"/>
        <v>9122.7112500000003</v>
      </c>
      <c r="Q208" s="626" t="s">
        <v>4812</v>
      </c>
    </row>
    <row r="209" spans="2:17" ht="75" customHeight="1" x14ac:dyDescent="0.25">
      <c r="B209" s="611">
        <v>44907</v>
      </c>
      <c r="C209" s="630">
        <v>45008</v>
      </c>
      <c r="D209" s="631" t="s">
        <v>4824</v>
      </c>
      <c r="E209" s="613" t="s">
        <v>4832</v>
      </c>
      <c r="F209" s="613" t="s">
        <v>4831</v>
      </c>
      <c r="G209" s="612" t="s">
        <v>18</v>
      </c>
      <c r="H209" s="613" t="s">
        <v>4569</v>
      </c>
      <c r="I209" s="613" t="s">
        <v>4569</v>
      </c>
      <c r="J209" s="620">
        <v>18874.575000000001</v>
      </c>
      <c r="K209" s="614">
        <v>56.3</v>
      </c>
      <c r="L209" s="873">
        <f t="shared" si="13"/>
        <v>335.25000000000006</v>
      </c>
      <c r="M209" s="612">
        <v>60</v>
      </c>
      <c r="N209" s="615">
        <f t="shared" si="14"/>
        <v>314.57625000000002</v>
      </c>
      <c r="O209" s="616">
        <f t="shared" ca="1" si="12"/>
        <v>31</v>
      </c>
      <c r="P209" s="873">
        <f t="shared" ca="1" si="15"/>
        <v>9122.7112500000003</v>
      </c>
      <c r="Q209" s="626" t="s">
        <v>4812</v>
      </c>
    </row>
    <row r="210" spans="2:17" ht="75" customHeight="1" x14ac:dyDescent="0.25">
      <c r="B210" s="611">
        <v>44907</v>
      </c>
      <c r="C210" s="630">
        <v>45008</v>
      </c>
      <c r="D210" s="631" t="s">
        <v>4824</v>
      </c>
      <c r="E210" s="613" t="s">
        <v>4833</v>
      </c>
      <c r="F210" s="613" t="s">
        <v>4831</v>
      </c>
      <c r="G210" s="612" t="s">
        <v>18</v>
      </c>
      <c r="H210" s="613" t="s">
        <v>4569</v>
      </c>
      <c r="I210" s="613" t="s">
        <v>4569</v>
      </c>
      <c r="J210" s="620">
        <v>18874.575000000001</v>
      </c>
      <c r="K210" s="614">
        <v>56.3</v>
      </c>
      <c r="L210" s="873">
        <f t="shared" si="13"/>
        <v>335.25000000000006</v>
      </c>
      <c r="M210" s="612">
        <v>60</v>
      </c>
      <c r="N210" s="615">
        <f t="shared" si="14"/>
        <v>314.57625000000002</v>
      </c>
      <c r="O210" s="616">
        <f t="shared" ca="1" si="12"/>
        <v>31</v>
      </c>
      <c r="P210" s="873">
        <f t="shared" ca="1" si="15"/>
        <v>9122.7112500000003</v>
      </c>
      <c r="Q210" s="626" t="s">
        <v>4812</v>
      </c>
    </row>
    <row r="211" spans="2:17" ht="75" customHeight="1" x14ac:dyDescent="0.25">
      <c r="B211" s="611">
        <v>44907</v>
      </c>
      <c r="C211" s="630">
        <v>45008</v>
      </c>
      <c r="D211" s="631" t="s">
        <v>4824</v>
      </c>
      <c r="E211" s="613" t="s">
        <v>4834</v>
      </c>
      <c r="F211" s="613" t="s">
        <v>4831</v>
      </c>
      <c r="G211" s="612" t="s">
        <v>18</v>
      </c>
      <c r="H211" s="613" t="s">
        <v>4569</v>
      </c>
      <c r="I211" s="613" t="s">
        <v>4569</v>
      </c>
      <c r="J211" s="620">
        <v>18874.575000000001</v>
      </c>
      <c r="K211" s="614">
        <v>56.3</v>
      </c>
      <c r="L211" s="873">
        <f t="shared" si="13"/>
        <v>335.25000000000006</v>
      </c>
      <c r="M211" s="612">
        <v>60</v>
      </c>
      <c r="N211" s="615">
        <f t="shared" si="14"/>
        <v>314.57625000000002</v>
      </c>
      <c r="O211" s="616">
        <f t="shared" ca="1" si="12"/>
        <v>31</v>
      </c>
      <c r="P211" s="873">
        <f t="shared" ca="1" si="15"/>
        <v>9122.7112500000003</v>
      </c>
      <c r="Q211" s="626" t="s">
        <v>4812</v>
      </c>
    </row>
    <row r="212" spans="2:17" ht="120" customHeight="1" x14ac:dyDescent="0.25">
      <c r="B212" s="611">
        <v>44907</v>
      </c>
      <c r="C212" s="630">
        <v>45008</v>
      </c>
      <c r="D212" s="631" t="s">
        <v>4824</v>
      </c>
      <c r="E212" s="613" t="s">
        <v>4835</v>
      </c>
      <c r="F212" s="613" t="s">
        <v>4836</v>
      </c>
      <c r="G212" s="612" t="s">
        <v>18</v>
      </c>
      <c r="H212" s="613" t="s">
        <v>4569</v>
      </c>
      <c r="I212" s="613" t="s">
        <v>4569</v>
      </c>
      <c r="J212" s="620">
        <v>32935.5</v>
      </c>
      <c r="K212" s="614">
        <v>56.3</v>
      </c>
      <c r="L212" s="873">
        <f t="shared" si="13"/>
        <v>585</v>
      </c>
      <c r="M212" s="612">
        <v>60</v>
      </c>
      <c r="N212" s="615">
        <f t="shared" si="14"/>
        <v>548.92499999999995</v>
      </c>
      <c r="O212" s="616">
        <f t="shared" ca="1" si="12"/>
        <v>31</v>
      </c>
      <c r="P212" s="873">
        <f t="shared" ca="1" si="15"/>
        <v>15918.825000000001</v>
      </c>
      <c r="Q212" s="626" t="s">
        <v>4812</v>
      </c>
    </row>
    <row r="213" spans="2:17" ht="120" customHeight="1" x14ac:dyDescent="0.25">
      <c r="B213" s="611">
        <v>44907</v>
      </c>
      <c r="C213" s="630">
        <v>45008</v>
      </c>
      <c r="D213" s="631" t="s">
        <v>4824</v>
      </c>
      <c r="E213" s="613" t="s">
        <v>4837</v>
      </c>
      <c r="F213" s="613" t="s">
        <v>4836</v>
      </c>
      <c r="G213" s="612" t="s">
        <v>18</v>
      </c>
      <c r="H213" s="613" t="s">
        <v>4569</v>
      </c>
      <c r="I213" s="613" t="s">
        <v>4569</v>
      </c>
      <c r="J213" s="620">
        <v>32935.5</v>
      </c>
      <c r="K213" s="614">
        <v>56.3</v>
      </c>
      <c r="L213" s="873">
        <f t="shared" si="13"/>
        <v>585</v>
      </c>
      <c r="M213" s="612">
        <v>60</v>
      </c>
      <c r="N213" s="615">
        <f t="shared" si="14"/>
        <v>548.92499999999995</v>
      </c>
      <c r="O213" s="616">
        <f t="shared" ca="1" si="12"/>
        <v>31</v>
      </c>
      <c r="P213" s="873">
        <f t="shared" ca="1" si="15"/>
        <v>15918.825000000001</v>
      </c>
      <c r="Q213" s="626" t="s">
        <v>4812</v>
      </c>
    </row>
    <row r="214" spans="2:17" ht="120" customHeight="1" x14ac:dyDescent="0.25">
      <c r="B214" s="611">
        <v>44907</v>
      </c>
      <c r="C214" s="630">
        <v>45008</v>
      </c>
      <c r="D214" s="631" t="s">
        <v>4824</v>
      </c>
      <c r="E214" s="613" t="s">
        <v>4838</v>
      </c>
      <c r="F214" s="613" t="s">
        <v>4836</v>
      </c>
      <c r="G214" s="612" t="s">
        <v>18</v>
      </c>
      <c r="H214" s="613" t="s">
        <v>4569</v>
      </c>
      <c r="I214" s="613" t="s">
        <v>4569</v>
      </c>
      <c r="J214" s="620">
        <v>32935.5</v>
      </c>
      <c r="K214" s="614">
        <v>56.3</v>
      </c>
      <c r="L214" s="873">
        <f t="shared" si="13"/>
        <v>585</v>
      </c>
      <c r="M214" s="612">
        <v>60</v>
      </c>
      <c r="N214" s="615">
        <f t="shared" si="14"/>
        <v>548.92499999999995</v>
      </c>
      <c r="O214" s="616">
        <f t="shared" ca="1" si="12"/>
        <v>31</v>
      </c>
      <c r="P214" s="873">
        <f t="shared" ca="1" si="15"/>
        <v>15918.825000000001</v>
      </c>
      <c r="Q214" s="626" t="s">
        <v>4812</v>
      </c>
    </row>
    <row r="215" spans="2:17" ht="120" customHeight="1" x14ac:dyDescent="0.25">
      <c r="B215" s="611">
        <v>44907</v>
      </c>
      <c r="C215" s="630">
        <v>45008</v>
      </c>
      <c r="D215" s="631" t="s">
        <v>4824</v>
      </c>
      <c r="E215" s="613" t="s">
        <v>4839</v>
      </c>
      <c r="F215" s="613" t="s">
        <v>4836</v>
      </c>
      <c r="G215" s="612" t="s">
        <v>18</v>
      </c>
      <c r="H215" s="613" t="s">
        <v>4569</v>
      </c>
      <c r="I215" s="613" t="s">
        <v>4569</v>
      </c>
      <c r="J215" s="620">
        <v>32935.5</v>
      </c>
      <c r="K215" s="614">
        <v>56.3</v>
      </c>
      <c r="L215" s="873">
        <f t="shared" si="13"/>
        <v>585</v>
      </c>
      <c r="M215" s="612">
        <v>60</v>
      </c>
      <c r="N215" s="615">
        <f t="shared" si="14"/>
        <v>548.92499999999995</v>
      </c>
      <c r="O215" s="616">
        <f t="shared" ca="1" si="12"/>
        <v>31</v>
      </c>
      <c r="P215" s="873">
        <f t="shared" ca="1" si="15"/>
        <v>15918.825000000001</v>
      </c>
      <c r="Q215" s="626" t="s">
        <v>4812</v>
      </c>
    </row>
    <row r="216" spans="2:17" ht="45" x14ac:dyDescent="0.25">
      <c r="B216" s="611">
        <v>44909</v>
      </c>
      <c r="C216" s="630">
        <v>45101</v>
      </c>
      <c r="D216" s="631" t="s">
        <v>4840</v>
      </c>
      <c r="E216" s="613" t="s">
        <v>4841</v>
      </c>
      <c r="F216" s="613" t="s">
        <v>4842</v>
      </c>
      <c r="G216" s="612" t="s">
        <v>18</v>
      </c>
      <c r="H216" s="613" t="s">
        <v>4569</v>
      </c>
      <c r="I216" s="613" t="s">
        <v>4569</v>
      </c>
      <c r="J216" s="388">
        <v>5878400</v>
      </c>
      <c r="K216" s="614">
        <v>56.3</v>
      </c>
      <c r="L216" s="873">
        <f t="shared" si="13"/>
        <v>104412.07815275311</v>
      </c>
      <c r="M216" s="612">
        <v>60</v>
      </c>
      <c r="N216" s="615">
        <f t="shared" si="14"/>
        <v>97973.333333333328</v>
      </c>
      <c r="O216" s="616">
        <f t="shared" ca="1" si="12"/>
        <v>31</v>
      </c>
      <c r="P216" s="873">
        <f t="shared" ca="1" si="15"/>
        <v>2841226.666666667</v>
      </c>
      <c r="Q216" s="613" t="s">
        <v>4812</v>
      </c>
    </row>
    <row r="217" spans="2:17" ht="45" x14ac:dyDescent="0.25">
      <c r="B217" s="611">
        <v>44909</v>
      </c>
      <c r="C217" s="630">
        <v>45101</v>
      </c>
      <c r="D217" s="631" t="s">
        <v>4840</v>
      </c>
      <c r="E217" s="613" t="s">
        <v>4843</v>
      </c>
      <c r="F217" s="613" t="s">
        <v>4844</v>
      </c>
      <c r="G217" s="612" t="s">
        <v>18</v>
      </c>
      <c r="H217" s="613" t="s">
        <v>4569</v>
      </c>
      <c r="I217" s="613" t="s">
        <v>4569</v>
      </c>
      <c r="J217" s="388">
        <v>4644961.13</v>
      </c>
      <c r="K217" s="614">
        <v>56.3</v>
      </c>
      <c r="L217" s="873">
        <f t="shared" si="13"/>
        <v>82503.750088809946</v>
      </c>
      <c r="M217" s="612">
        <v>60</v>
      </c>
      <c r="N217" s="615">
        <f t="shared" si="14"/>
        <v>77416.018833333335</v>
      </c>
      <c r="O217" s="616">
        <f t="shared" ca="1" si="12"/>
        <v>31</v>
      </c>
      <c r="P217" s="873">
        <f t="shared" ca="1" si="15"/>
        <v>2245064.5461666663</v>
      </c>
      <c r="Q217" s="613" t="s">
        <v>4812</v>
      </c>
    </row>
    <row r="218" spans="2:17" ht="90" x14ac:dyDescent="0.25">
      <c r="B218" s="611">
        <v>44749</v>
      </c>
      <c r="C218" s="611">
        <v>45083</v>
      </c>
      <c r="D218" s="612" t="s">
        <v>4855</v>
      </c>
      <c r="E218" s="691" t="s">
        <v>6977</v>
      </c>
      <c r="F218" s="613" t="s">
        <v>4856</v>
      </c>
      <c r="G218" s="537" t="s">
        <v>4857</v>
      </c>
      <c r="H218" s="613" t="s">
        <v>4569</v>
      </c>
      <c r="I218" s="613" t="s">
        <v>4569</v>
      </c>
      <c r="J218" s="623">
        <v>10151280</v>
      </c>
      <c r="K218" s="623">
        <v>55.2</v>
      </c>
      <c r="L218" s="873">
        <f t="shared" si="13"/>
        <v>183900</v>
      </c>
      <c r="M218" s="612">
        <v>60</v>
      </c>
      <c r="N218" s="615">
        <f t="shared" si="14"/>
        <v>169188</v>
      </c>
      <c r="O218" s="616">
        <f t="shared" ca="1" si="12"/>
        <v>37</v>
      </c>
      <c r="P218" s="873">
        <f t="shared" ca="1" si="15"/>
        <v>3891324</v>
      </c>
      <c r="Q218" s="613" t="s">
        <v>4812</v>
      </c>
    </row>
    <row r="219" spans="2:17" ht="135" customHeight="1" x14ac:dyDescent="0.25">
      <c r="B219" s="611">
        <v>44749</v>
      </c>
      <c r="C219" s="611">
        <v>45083</v>
      </c>
      <c r="D219" s="612" t="s">
        <v>4855</v>
      </c>
      <c r="E219" s="613" t="s">
        <v>6854</v>
      </c>
      <c r="F219" s="613" t="s">
        <v>4858</v>
      </c>
      <c r="G219" s="537" t="s">
        <v>4859</v>
      </c>
      <c r="H219" s="613" t="s">
        <v>4569</v>
      </c>
      <c r="I219" s="613" t="s">
        <v>4569</v>
      </c>
      <c r="J219" s="623">
        <v>966110.4</v>
      </c>
      <c r="K219" s="623">
        <v>55.2</v>
      </c>
      <c r="L219" s="873">
        <f t="shared" si="13"/>
        <v>17502</v>
      </c>
      <c r="M219" s="612">
        <v>60</v>
      </c>
      <c r="N219" s="615">
        <f t="shared" si="14"/>
        <v>16101.84</v>
      </c>
      <c r="O219" s="616">
        <f t="shared" ca="1" si="12"/>
        <v>37</v>
      </c>
      <c r="P219" s="873">
        <f t="shared" ca="1" si="15"/>
        <v>370342.32000000007</v>
      </c>
      <c r="Q219" s="613" t="s">
        <v>4812</v>
      </c>
    </row>
    <row r="220" spans="2:17" ht="75" customHeight="1" x14ac:dyDescent="0.25">
      <c r="B220" s="611">
        <v>44749</v>
      </c>
      <c r="C220" s="611">
        <v>45083</v>
      </c>
      <c r="D220" s="612" t="s">
        <v>4855</v>
      </c>
      <c r="E220" s="613" t="s">
        <v>6855</v>
      </c>
      <c r="F220" s="613" t="s">
        <v>4860</v>
      </c>
      <c r="G220" s="537" t="s">
        <v>4861</v>
      </c>
      <c r="H220" s="613" t="s">
        <v>4569</v>
      </c>
      <c r="I220" s="613" t="s">
        <v>4569</v>
      </c>
      <c r="J220" s="623">
        <v>1379862</v>
      </c>
      <c r="K220" s="623">
        <v>55.2</v>
      </c>
      <c r="L220" s="873">
        <f t="shared" si="13"/>
        <v>24997.5</v>
      </c>
      <c r="M220" s="612">
        <v>60</v>
      </c>
      <c r="N220" s="615">
        <f t="shared" si="14"/>
        <v>22997.7</v>
      </c>
      <c r="O220" s="616">
        <f t="shared" ca="1" si="12"/>
        <v>37</v>
      </c>
      <c r="P220" s="873">
        <f t="shared" ca="1" si="15"/>
        <v>528947.1</v>
      </c>
      <c r="Q220" s="613" t="s">
        <v>4812</v>
      </c>
    </row>
    <row r="221" spans="2:17" ht="135" customHeight="1" x14ac:dyDescent="0.25">
      <c r="B221" s="611">
        <v>44749</v>
      </c>
      <c r="C221" s="611">
        <v>45083</v>
      </c>
      <c r="D221" s="612" t="s">
        <v>4855</v>
      </c>
      <c r="E221" s="613" t="s">
        <v>6856</v>
      </c>
      <c r="F221" s="613" t="s">
        <v>4862</v>
      </c>
      <c r="G221" s="537" t="s">
        <v>4863</v>
      </c>
      <c r="H221" s="613" t="s">
        <v>4569</v>
      </c>
      <c r="I221" s="613" t="s">
        <v>4569</v>
      </c>
      <c r="J221" s="623">
        <v>320436</v>
      </c>
      <c r="K221" s="623">
        <v>55.2</v>
      </c>
      <c r="L221" s="873">
        <f t="shared" si="13"/>
        <v>5805</v>
      </c>
      <c r="M221" s="612">
        <v>60</v>
      </c>
      <c r="N221" s="615">
        <f t="shared" si="14"/>
        <v>5340.6</v>
      </c>
      <c r="O221" s="616">
        <f t="shared" ca="1" si="12"/>
        <v>37</v>
      </c>
      <c r="P221" s="873">
        <f t="shared" ca="1" si="15"/>
        <v>122833.79999999999</v>
      </c>
      <c r="Q221" s="613" t="s">
        <v>4812</v>
      </c>
    </row>
    <row r="222" spans="2:17" ht="165" customHeight="1" x14ac:dyDescent="0.25">
      <c r="B222" s="688">
        <v>44943</v>
      </c>
      <c r="C222" s="688">
        <v>45103</v>
      </c>
      <c r="D222" s="689" t="s">
        <v>4845</v>
      </c>
      <c r="E222" s="690" t="s">
        <v>4846</v>
      </c>
      <c r="F222" s="691" t="s">
        <v>4847</v>
      </c>
      <c r="G222" s="692" t="s">
        <v>18</v>
      </c>
      <c r="H222" s="691" t="s">
        <v>4569</v>
      </c>
      <c r="I222" s="691" t="s">
        <v>4569</v>
      </c>
      <c r="J222" s="693">
        <v>1350000</v>
      </c>
      <c r="K222" s="693">
        <v>55.981900000000003</v>
      </c>
      <c r="L222" s="615">
        <f t="shared" si="13"/>
        <v>24114.93714932862</v>
      </c>
      <c r="M222" s="692">
        <v>48</v>
      </c>
      <c r="N222" s="615">
        <f t="shared" si="14"/>
        <v>28125</v>
      </c>
      <c r="O222" s="694">
        <f t="shared" ca="1" si="12"/>
        <v>30</v>
      </c>
      <c r="P222" s="615">
        <f t="shared" ca="1" si="15"/>
        <v>506250</v>
      </c>
      <c r="Q222" s="691" t="s">
        <v>4812</v>
      </c>
    </row>
    <row r="223" spans="2:17" ht="180" customHeight="1" x14ac:dyDescent="0.25">
      <c r="B223" s="688">
        <v>45007</v>
      </c>
      <c r="C223" s="688">
        <v>45103</v>
      </c>
      <c r="D223" s="689" t="s">
        <v>4848</v>
      </c>
      <c r="E223" s="691" t="s">
        <v>4179</v>
      </c>
      <c r="F223" s="691" t="s">
        <v>4849</v>
      </c>
      <c r="G223" s="692" t="s">
        <v>4850</v>
      </c>
      <c r="H223" s="691" t="s">
        <v>4569</v>
      </c>
      <c r="I223" s="691" t="s">
        <v>4569</v>
      </c>
      <c r="J223" s="695">
        <v>5743827</v>
      </c>
      <c r="K223" s="693">
        <v>55.981900000000003</v>
      </c>
      <c r="L223" s="615">
        <f t="shared" si="13"/>
        <v>102601.50155675317</v>
      </c>
      <c r="M223" s="692">
        <v>60</v>
      </c>
      <c r="N223" s="615">
        <f t="shared" si="14"/>
        <v>95730.45</v>
      </c>
      <c r="O223" s="694">
        <f t="shared" ca="1" si="12"/>
        <v>28</v>
      </c>
      <c r="P223" s="615">
        <f t="shared" ca="1" si="15"/>
        <v>3063374.4</v>
      </c>
      <c r="Q223" s="691" t="s">
        <v>4851</v>
      </c>
    </row>
    <row r="224" spans="2:17" ht="75" customHeight="1" x14ac:dyDescent="0.25">
      <c r="B224" s="611">
        <v>45008</v>
      </c>
      <c r="C224" s="611">
        <v>45112</v>
      </c>
      <c r="D224" s="631" t="s">
        <v>4852</v>
      </c>
      <c r="E224" s="632" t="s">
        <v>6857</v>
      </c>
      <c r="F224" s="613" t="s">
        <v>4853</v>
      </c>
      <c r="G224" s="678" t="s">
        <v>18</v>
      </c>
      <c r="H224" s="613" t="s">
        <v>4569</v>
      </c>
      <c r="I224" s="613" t="s">
        <v>4569</v>
      </c>
      <c r="J224" s="623">
        <v>306800</v>
      </c>
      <c r="K224" s="623">
        <v>54.925699999999999</v>
      </c>
      <c r="L224" s="873">
        <f t="shared" si="13"/>
        <v>5585.7276284143854</v>
      </c>
      <c r="M224" s="612">
        <v>60</v>
      </c>
      <c r="N224" s="615">
        <f t="shared" si="14"/>
        <v>5113.333333333333</v>
      </c>
      <c r="O224" s="616">
        <f t="shared" ca="1" si="12"/>
        <v>28</v>
      </c>
      <c r="P224" s="873">
        <f t="shared" ca="1" si="15"/>
        <v>163626.66666666669</v>
      </c>
      <c r="Q224" s="613" t="s">
        <v>4854</v>
      </c>
    </row>
    <row r="225" spans="2:17" ht="90" x14ac:dyDescent="0.25">
      <c r="B225" s="611">
        <v>45139</v>
      </c>
      <c r="C225" s="611">
        <v>45301</v>
      </c>
      <c r="D225" s="612" t="s">
        <v>4927</v>
      </c>
      <c r="E225" s="632" t="s">
        <v>5808</v>
      </c>
      <c r="F225" s="613" t="s">
        <v>4928</v>
      </c>
      <c r="G225" s="678" t="s">
        <v>18</v>
      </c>
      <c r="H225" s="613" t="s">
        <v>4930</v>
      </c>
      <c r="I225" s="613" t="s">
        <v>4662</v>
      </c>
      <c r="J225" s="623">
        <v>27500</v>
      </c>
      <c r="K225" s="873">
        <v>56.514400000000002</v>
      </c>
      <c r="L225" s="873">
        <f t="shared" si="13"/>
        <v>486.60164489050578</v>
      </c>
      <c r="M225" s="612">
        <v>60</v>
      </c>
      <c r="N225" s="615">
        <f t="shared" si="14"/>
        <v>458.33333333333331</v>
      </c>
      <c r="O225" s="616">
        <f t="shared" ca="1" si="12"/>
        <v>24</v>
      </c>
      <c r="P225" s="873">
        <f t="shared" ca="1" si="15"/>
        <v>16500</v>
      </c>
      <c r="Q225" s="613" t="s">
        <v>4929</v>
      </c>
    </row>
    <row r="226" spans="2:17" ht="90" x14ac:dyDescent="0.25">
      <c r="B226" s="611">
        <v>45139</v>
      </c>
      <c r="C226" s="611">
        <v>45301</v>
      </c>
      <c r="D226" s="612" t="s">
        <v>4927</v>
      </c>
      <c r="E226" s="632" t="s">
        <v>5809</v>
      </c>
      <c r="F226" s="613" t="s">
        <v>4928</v>
      </c>
      <c r="G226" s="678" t="s">
        <v>18</v>
      </c>
      <c r="H226" s="613" t="s">
        <v>4930</v>
      </c>
      <c r="I226" s="613" t="s">
        <v>4662</v>
      </c>
      <c r="J226" s="623">
        <v>27500</v>
      </c>
      <c r="K226" s="873">
        <v>56.514400000000002</v>
      </c>
      <c r="L226" s="873">
        <f t="shared" si="13"/>
        <v>486.60164489050578</v>
      </c>
      <c r="M226" s="612">
        <v>60</v>
      </c>
      <c r="N226" s="615">
        <f t="shared" si="14"/>
        <v>458.33333333333331</v>
      </c>
      <c r="O226" s="616">
        <f t="shared" ca="1" si="12"/>
        <v>24</v>
      </c>
      <c r="P226" s="873">
        <f t="shared" ca="1" si="15"/>
        <v>16500</v>
      </c>
      <c r="Q226" s="613" t="s">
        <v>4929</v>
      </c>
    </row>
    <row r="227" spans="2:17" ht="90" x14ac:dyDescent="0.25">
      <c r="B227" s="611">
        <v>45139</v>
      </c>
      <c r="C227" s="611">
        <v>45301</v>
      </c>
      <c r="D227" s="612" t="s">
        <v>4927</v>
      </c>
      <c r="E227" s="632" t="s">
        <v>5810</v>
      </c>
      <c r="F227" s="613" t="s">
        <v>4928</v>
      </c>
      <c r="G227" s="678" t="s">
        <v>18</v>
      </c>
      <c r="H227" s="613" t="s">
        <v>4930</v>
      </c>
      <c r="I227" s="613" t="s">
        <v>4662</v>
      </c>
      <c r="J227" s="623">
        <v>27500</v>
      </c>
      <c r="K227" s="873">
        <v>56.514400000000002</v>
      </c>
      <c r="L227" s="873">
        <f t="shared" si="13"/>
        <v>486.60164489050578</v>
      </c>
      <c r="M227" s="612">
        <v>60</v>
      </c>
      <c r="N227" s="615">
        <f t="shared" si="14"/>
        <v>458.33333333333331</v>
      </c>
      <c r="O227" s="616">
        <f t="shared" ca="1" si="12"/>
        <v>24</v>
      </c>
      <c r="P227" s="873">
        <f t="shared" ca="1" si="15"/>
        <v>16500</v>
      </c>
      <c r="Q227" s="613" t="s">
        <v>4929</v>
      </c>
    </row>
    <row r="228" spans="2:17" ht="90" x14ac:dyDescent="0.25">
      <c r="B228" s="611">
        <v>45139</v>
      </c>
      <c r="C228" s="611">
        <v>45301</v>
      </c>
      <c r="D228" s="612" t="s">
        <v>4927</v>
      </c>
      <c r="E228" s="632" t="s">
        <v>5811</v>
      </c>
      <c r="F228" s="613" t="s">
        <v>4928</v>
      </c>
      <c r="G228" s="678" t="s">
        <v>18</v>
      </c>
      <c r="H228" s="613" t="s">
        <v>4930</v>
      </c>
      <c r="I228" s="613" t="s">
        <v>4662</v>
      </c>
      <c r="J228" s="623">
        <v>27500</v>
      </c>
      <c r="K228" s="873">
        <v>56.514400000000002</v>
      </c>
      <c r="L228" s="873">
        <f t="shared" si="13"/>
        <v>486.60164489050578</v>
      </c>
      <c r="M228" s="612">
        <v>60</v>
      </c>
      <c r="N228" s="615">
        <f t="shared" si="14"/>
        <v>458.33333333333331</v>
      </c>
      <c r="O228" s="616">
        <f t="shared" ca="1" si="12"/>
        <v>24</v>
      </c>
      <c r="P228" s="873">
        <f t="shared" ca="1" si="15"/>
        <v>16500</v>
      </c>
      <c r="Q228" s="613" t="s">
        <v>4929</v>
      </c>
    </row>
    <row r="229" spans="2:17" ht="90" x14ac:dyDescent="0.25">
      <c r="B229" s="611">
        <v>45139</v>
      </c>
      <c r="C229" s="611">
        <v>45301</v>
      </c>
      <c r="D229" s="612" t="s">
        <v>4927</v>
      </c>
      <c r="E229" s="632" t="s">
        <v>5812</v>
      </c>
      <c r="F229" s="613" t="s">
        <v>4928</v>
      </c>
      <c r="G229" s="678" t="s">
        <v>18</v>
      </c>
      <c r="H229" s="613" t="s">
        <v>4930</v>
      </c>
      <c r="I229" s="613" t="s">
        <v>4662</v>
      </c>
      <c r="J229" s="623">
        <v>27500</v>
      </c>
      <c r="K229" s="873">
        <v>56.514400000000002</v>
      </c>
      <c r="L229" s="873">
        <f t="shared" si="13"/>
        <v>486.60164489050578</v>
      </c>
      <c r="M229" s="612">
        <v>60</v>
      </c>
      <c r="N229" s="615">
        <f t="shared" si="14"/>
        <v>458.33333333333331</v>
      </c>
      <c r="O229" s="616">
        <f t="shared" ca="1" si="12"/>
        <v>24</v>
      </c>
      <c r="P229" s="873">
        <f t="shared" ca="1" si="15"/>
        <v>16500</v>
      </c>
      <c r="Q229" s="613" t="s">
        <v>4929</v>
      </c>
    </row>
    <row r="230" spans="2:17" ht="90" x14ac:dyDescent="0.25">
      <c r="B230" s="611">
        <v>45139</v>
      </c>
      <c r="C230" s="611">
        <v>45301</v>
      </c>
      <c r="D230" s="612" t="s">
        <v>4927</v>
      </c>
      <c r="E230" s="632" t="s">
        <v>5813</v>
      </c>
      <c r="F230" s="613" t="s">
        <v>4928</v>
      </c>
      <c r="G230" s="678" t="s">
        <v>18</v>
      </c>
      <c r="H230" s="613" t="s">
        <v>4930</v>
      </c>
      <c r="I230" s="613" t="s">
        <v>4662</v>
      </c>
      <c r="J230" s="623">
        <v>27500</v>
      </c>
      <c r="K230" s="873">
        <v>56.514400000000002</v>
      </c>
      <c r="L230" s="873">
        <f t="shared" si="13"/>
        <v>486.60164489050578</v>
      </c>
      <c r="M230" s="612">
        <v>60</v>
      </c>
      <c r="N230" s="615">
        <f t="shared" si="14"/>
        <v>458.33333333333331</v>
      </c>
      <c r="O230" s="616">
        <f t="shared" ca="1" si="12"/>
        <v>24</v>
      </c>
      <c r="P230" s="873">
        <f t="shared" ca="1" si="15"/>
        <v>16500</v>
      </c>
      <c r="Q230" s="613" t="s">
        <v>4929</v>
      </c>
    </row>
    <row r="231" spans="2:17" ht="90" x14ac:dyDescent="0.25">
      <c r="B231" s="611">
        <v>45139</v>
      </c>
      <c r="C231" s="611">
        <v>45301</v>
      </c>
      <c r="D231" s="612" t="s">
        <v>4927</v>
      </c>
      <c r="E231" s="632" t="s">
        <v>5814</v>
      </c>
      <c r="F231" s="613" t="s">
        <v>4928</v>
      </c>
      <c r="G231" s="678" t="s">
        <v>18</v>
      </c>
      <c r="H231" s="613" t="s">
        <v>4930</v>
      </c>
      <c r="I231" s="613" t="s">
        <v>4662</v>
      </c>
      <c r="J231" s="623">
        <v>27500</v>
      </c>
      <c r="K231" s="873">
        <v>56.514400000000002</v>
      </c>
      <c r="L231" s="873">
        <f t="shared" si="13"/>
        <v>486.60164489050578</v>
      </c>
      <c r="M231" s="612">
        <v>60</v>
      </c>
      <c r="N231" s="615">
        <f t="shared" si="14"/>
        <v>458.33333333333331</v>
      </c>
      <c r="O231" s="616">
        <f t="shared" ca="1" si="12"/>
        <v>24</v>
      </c>
      <c r="P231" s="873">
        <f t="shared" ca="1" si="15"/>
        <v>16500</v>
      </c>
      <c r="Q231" s="613" t="s">
        <v>4929</v>
      </c>
    </row>
    <row r="232" spans="2:17" ht="90" x14ac:dyDescent="0.25">
      <c r="B232" s="611">
        <v>45139</v>
      </c>
      <c r="C232" s="611">
        <v>45301</v>
      </c>
      <c r="D232" s="612" t="s">
        <v>4927</v>
      </c>
      <c r="E232" s="632" t="s">
        <v>5815</v>
      </c>
      <c r="F232" s="613" t="s">
        <v>4928</v>
      </c>
      <c r="G232" s="678" t="s">
        <v>18</v>
      </c>
      <c r="H232" s="613" t="s">
        <v>4930</v>
      </c>
      <c r="I232" s="613" t="s">
        <v>4662</v>
      </c>
      <c r="J232" s="623">
        <v>27500</v>
      </c>
      <c r="K232" s="873">
        <v>56.514400000000002</v>
      </c>
      <c r="L232" s="873">
        <f t="shared" si="13"/>
        <v>486.60164489050578</v>
      </c>
      <c r="M232" s="612">
        <v>60</v>
      </c>
      <c r="N232" s="615">
        <f t="shared" si="14"/>
        <v>458.33333333333331</v>
      </c>
      <c r="O232" s="616">
        <f t="shared" ca="1" si="12"/>
        <v>24</v>
      </c>
      <c r="P232" s="873">
        <f t="shared" ca="1" si="15"/>
        <v>16500</v>
      </c>
      <c r="Q232" s="613" t="s">
        <v>4929</v>
      </c>
    </row>
    <row r="233" spans="2:17" ht="90" x14ac:dyDescent="0.25">
      <c r="B233" s="611">
        <v>45139</v>
      </c>
      <c r="C233" s="611">
        <v>45301</v>
      </c>
      <c r="D233" s="612" t="s">
        <v>4927</v>
      </c>
      <c r="E233" s="632" t="s">
        <v>5816</v>
      </c>
      <c r="F233" s="613" t="s">
        <v>4928</v>
      </c>
      <c r="G233" s="678" t="s">
        <v>18</v>
      </c>
      <c r="H233" s="613" t="s">
        <v>4930</v>
      </c>
      <c r="I233" s="613" t="s">
        <v>4662</v>
      </c>
      <c r="J233" s="623">
        <v>27500</v>
      </c>
      <c r="K233" s="873">
        <v>56.514400000000002</v>
      </c>
      <c r="L233" s="873">
        <f t="shared" si="13"/>
        <v>486.60164489050578</v>
      </c>
      <c r="M233" s="612">
        <v>60</v>
      </c>
      <c r="N233" s="615">
        <f t="shared" si="14"/>
        <v>458.33333333333331</v>
      </c>
      <c r="O233" s="616">
        <f t="shared" ca="1" si="12"/>
        <v>24</v>
      </c>
      <c r="P233" s="873">
        <f t="shared" ca="1" si="15"/>
        <v>16500</v>
      </c>
      <c r="Q233" s="613" t="s">
        <v>4929</v>
      </c>
    </row>
    <row r="234" spans="2:17" ht="90" x14ac:dyDescent="0.25">
      <c r="B234" s="611">
        <v>45139</v>
      </c>
      <c r="C234" s="611">
        <v>45301</v>
      </c>
      <c r="D234" s="612" t="s">
        <v>4927</v>
      </c>
      <c r="E234" s="632" t="s">
        <v>5817</v>
      </c>
      <c r="F234" s="613" t="s">
        <v>4928</v>
      </c>
      <c r="G234" s="678" t="s">
        <v>18</v>
      </c>
      <c r="H234" s="613" t="s">
        <v>4930</v>
      </c>
      <c r="I234" s="613" t="s">
        <v>4662</v>
      </c>
      <c r="J234" s="623">
        <v>27500</v>
      </c>
      <c r="K234" s="873">
        <v>56.514400000000002</v>
      </c>
      <c r="L234" s="873">
        <f t="shared" si="13"/>
        <v>486.60164489050578</v>
      </c>
      <c r="M234" s="612">
        <v>60</v>
      </c>
      <c r="N234" s="615">
        <f t="shared" si="14"/>
        <v>458.33333333333331</v>
      </c>
      <c r="O234" s="616">
        <f t="shared" ca="1" si="12"/>
        <v>24</v>
      </c>
      <c r="P234" s="873">
        <f t="shared" ca="1" si="15"/>
        <v>16500</v>
      </c>
      <c r="Q234" s="613" t="s">
        <v>4929</v>
      </c>
    </row>
    <row r="235" spans="2:17" ht="90" x14ac:dyDescent="0.25">
      <c r="B235" s="611">
        <v>45139</v>
      </c>
      <c r="C235" s="611">
        <v>45301</v>
      </c>
      <c r="D235" s="612" t="s">
        <v>4927</v>
      </c>
      <c r="E235" s="632" t="s">
        <v>5818</v>
      </c>
      <c r="F235" s="613" t="s">
        <v>4928</v>
      </c>
      <c r="G235" s="678" t="s">
        <v>18</v>
      </c>
      <c r="H235" s="613" t="s">
        <v>4930</v>
      </c>
      <c r="I235" s="613" t="s">
        <v>4662</v>
      </c>
      <c r="J235" s="623">
        <v>27500</v>
      </c>
      <c r="K235" s="873">
        <v>56.514400000000002</v>
      </c>
      <c r="L235" s="873">
        <f t="shared" si="13"/>
        <v>486.60164489050578</v>
      </c>
      <c r="M235" s="612">
        <v>60</v>
      </c>
      <c r="N235" s="615">
        <f t="shared" si="14"/>
        <v>458.33333333333331</v>
      </c>
      <c r="O235" s="616">
        <f t="shared" ca="1" si="12"/>
        <v>24</v>
      </c>
      <c r="P235" s="873">
        <f t="shared" ca="1" si="15"/>
        <v>16500</v>
      </c>
      <c r="Q235" s="613" t="s">
        <v>4929</v>
      </c>
    </row>
    <row r="236" spans="2:17" ht="90" x14ac:dyDescent="0.25">
      <c r="B236" s="611">
        <v>45139</v>
      </c>
      <c r="C236" s="611">
        <v>45301</v>
      </c>
      <c r="D236" s="612" t="s">
        <v>4927</v>
      </c>
      <c r="E236" s="632" t="s">
        <v>5819</v>
      </c>
      <c r="F236" s="613" t="s">
        <v>4928</v>
      </c>
      <c r="G236" s="678" t="s">
        <v>18</v>
      </c>
      <c r="H236" s="613" t="s">
        <v>4930</v>
      </c>
      <c r="I236" s="613" t="s">
        <v>4662</v>
      </c>
      <c r="J236" s="623">
        <v>27500</v>
      </c>
      <c r="K236" s="873">
        <v>56.514400000000002</v>
      </c>
      <c r="L236" s="873">
        <f t="shared" si="13"/>
        <v>486.60164489050578</v>
      </c>
      <c r="M236" s="612">
        <v>60</v>
      </c>
      <c r="N236" s="615">
        <f t="shared" si="14"/>
        <v>458.33333333333331</v>
      </c>
      <c r="O236" s="616">
        <f t="shared" ca="1" si="12"/>
        <v>24</v>
      </c>
      <c r="P236" s="873">
        <f t="shared" ca="1" si="15"/>
        <v>16500</v>
      </c>
      <c r="Q236" s="613" t="s">
        <v>4929</v>
      </c>
    </row>
    <row r="237" spans="2:17" ht="90" x14ac:dyDescent="0.25">
      <c r="B237" s="611">
        <v>45139</v>
      </c>
      <c r="C237" s="611">
        <v>45301</v>
      </c>
      <c r="D237" s="612" t="s">
        <v>4927</v>
      </c>
      <c r="E237" s="632" t="s">
        <v>5820</v>
      </c>
      <c r="F237" s="613" t="s">
        <v>4928</v>
      </c>
      <c r="G237" s="678" t="s">
        <v>18</v>
      </c>
      <c r="H237" s="613" t="s">
        <v>4930</v>
      </c>
      <c r="I237" s="613" t="s">
        <v>4662</v>
      </c>
      <c r="J237" s="623">
        <v>27500</v>
      </c>
      <c r="K237" s="873">
        <v>56.514400000000002</v>
      </c>
      <c r="L237" s="873">
        <f t="shared" si="13"/>
        <v>486.60164489050578</v>
      </c>
      <c r="M237" s="612">
        <v>60</v>
      </c>
      <c r="N237" s="615">
        <f t="shared" si="14"/>
        <v>458.33333333333331</v>
      </c>
      <c r="O237" s="616">
        <f t="shared" ca="1" si="12"/>
        <v>24</v>
      </c>
      <c r="P237" s="873">
        <f t="shared" ca="1" si="15"/>
        <v>16500</v>
      </c>
      <c r="Q237" s="613" t="s">
        <v>4929</v>
      </c>
    </row>
    <row r="238" spans="2:17" ht="90" x14ac:dyDescent="0.25">
      <c r="B238" s="611">
        <v>45139</v>
      </c>
      <c r="C238" s="611">
        <v>45301</v>
      </c>
      <c r="D238" s="612" t="s">
        <v>4927</v>
      </c>
      <c r="E238" s="632" t="s">
        <v>5821</v>
      </c>
      <c r="F238" s="613" t="s">
        <v>4928</v>
      </c>
      <c r="G238" s="678" t="s">
        <v>18</v>
      </c>
      <c r="H238" s="613" t="s">
        <v>4930</v>
      </c>
      <c r="I238" s="613" t="s">
        <v>4662</v>
      </c>
      <c r="J238" s="623">
        <v>27500</v>
      </c>
      <c r="K238" s="873">
        <v>56.514400000000002</v>
      </c>
      <c r="L238" s="873">
        <f t="shared" si="13"/>
        <v>486.60164489050578</v>
      </c>
      <c r="M238" s="612">
        <v>60</v>
      </c>
      <c r="N238" s="615">
        <f t="shared" si="14"/>
        <v>458.33333333333331</v>
      </c>
      <c r="O238" s="616">
        <f t="shared" ca="1" si="12"/>
        <v>24</v>
      </c>
      <c r="P238" s="873">
        <f t="shared" ca="1" si="15"/>
        <v>16500</v>
      </c>
      <c r="Q238" s="613" t="s">
        <v>4929</v>
      </c>
    </row>
    <row r="239" spans="2:17" ht="90" x14ac:dyDescent="0.25">
      <c r="B239" s="611">
        <v>45139</v>
      </c>
      <c r="C239" s="611">
        <v>45301</v>
      </c>
      <c r="D239" s="612" t="s">
        <v>4927</v>
      </c>
      <c r="E239" s="632" t="s">
        <v>5822</v>
      </c>
      <c r="F239" s="613" t="s">
        <v>4928</v>
      </c>
      <c r="G239" s="678" t="s">
        <v>18</v>
      </c>
      <c r="H239" s="613" t="s">
        <v>4930</v>
      </c>
      <c r="I239" s="613" t="s">
        <v>4662</v>
      </c>
      <c r="J239" s="623">
        <v>27500</v>
      </c>
      <c r="K239" s="873">
        <v>56.514400000000002</v>
      </c>
      <c r="L239" s="873">
        <f t="shared" si="13"/>
        <v>486.60164489050578</v>
      </c>
      <c r="M239" s="612">
        <v>60</v>
      </c>
      <c r="N239" s="615">
        <f t="shared" si="14"/>
        <v>458.33333333333331</v>
      </c>
      <c r="O239" s="616">
        <f t="shared" ca="1" si="12"/>
        <v>24</v>
      </c>
      <c r="P239" s="873">
        <f t="shared" ca="1" si="15"/>
        <v>16500</v>
      </c>
      <c r="Q239" s="613" t="s">
        <v>4929</v>
      </c>
    </row>
    <row r="240" spans="2:17" ht="90" x14ac:dyDescent="0.25">
      <c r="B240" s="611">
        <v>45139</v>
      </c>
      <c r="C240" s="611">
        <v>45301</v>
      </c>
      <c r="D240" s="612" t="s">
        <v>4927</v>
      </c>
      <c r="E240" s="632" t="s">
        <v>5823</v>
      </c>
      <c r="F240" s="613" t="s">
        <v>4928</v>
      </c>
      <c r="G240" s="678" t="s">
        <v>18</v>
      </c>
      <c r="H240" s="613" t="s">
        <v>4930</v>
      </c>
      <c r="I240" s="613" t="s">
        <v>4662</v>
      </c>
      <c r="J240" s="623">
        <v>27500</v>
      </c>
      <c r="K240" s="873">
        <v>56.514400000000002</v>
      </c>
      <c r="L240" s="873">
        <f t="shared" si="13"/>
        <v>486.60164489050578</v>
      </c>
      <c r="M240" s="612">
        <v>60</v>
      </c>
      <c r="N240" s="615">
        <f t="shared" si="14"/>
        <v>458.33333333333331</v>
      </c>
      <c r="O240" s="616">
        <f t="shared" ca="1" si="12"/>
        <v>24</v>
      </c>
      <c r="P240" s="873">
        <f t="shared" ca="1" si="15"/>
        <v>16500</v>
      </c>
      <c r="Q240" s="613" t="s">
        <v>4929</v>
      </c>
    </row>
    <row r="241" spans="2:17" ht="90" x14ac:dyDescent="0.25">
      <c r="B241" s="611">
        <v>45139</v>
      </c>
      <c r="C241" s="611">
        <v>45301</v>
      </c>
      <c r="D241" s="612" t="s">
        <v>4927</v>
      </c>
      <c r="E241" s="632" t="s">
        <v>5824</v>
      </c>
      <c r="F241" s="613" t="s">
        <v>4928</v>
      </c>
      <c r="G241" s="678" t="s">
        <v>18</v>
      </c>
      <c r="H241" s="613" t="s">
        <v>4930</v>
      </c>
      <c r="I241" s="613" t="s">
        <v>4662</v>
      </c>
      <c r="J241" s="623">
        <v>27500</v>
      </c>
      <c r="K241" s="873">
        <v>56.514400000000002</v>
      </c>
      <c r="L241" s="873">
        <f t="shared" si="13"/>
        <v>486.60164489050578</v>
      </c>
      <c r="M241" s="612">
        <v>60</v>
      </c>
      <c r="N241" s="615">
        <f t="shared" si="14"/>
        <v>458.33333333333331</v>
      </c>
      <c r="O241" s="616">
        <f t="shared" ca="1" si="12"/>
        <v>24</v>
      </c>
      <c r="P241" s="873">
        <f t="shared" ca="1" si="15"/>
        <v>16500</v>
      </c>
      <c r="Q241" s="613" t="s">
        <v>4929</v>
      </c>
    </row>
    <row r="242" spans="2:17" ht="90" x14ac:dyDescent="0.25">
      <c r="B242" s="611">
        <v>45139</v>
      </c>
      <c r="C242" s="611">
        <v>45301</v>
      </c>
      <c r="D242" s="612" t="s">
        <v>4927</v>
      </c>
      <c r="E242" s="632" t="s">
        <v>5825</v>
      </c>
      <c r="F242" s="613" t="s">
        <v>4928</v>
      </c>
      <c r="G242" s="678" t="s">
        <v>18</v>
      </c>
      <c r="H242" s="613" t="s">
        <v>4930</v>
      </c>
      <c r="I242" s="613" t="s">
        <v>4662</v>
      </c>
      <c r="J242" s="623">
        <v>27500</v>
      </c>
      <c r="K242" s="873">
        <v>56.514400000000002</v>
      </c>
      <c r="L242" s="873">
        <f t="shared" si="13"/>
        <v>486.60164489050578</v>
      </c>
      <c r="M242" s="612">
        <v>60</v>
      </c>
      <c r="N242" s="615">
        <f t="shared" si="14"/>
        <v>458.33333333333331</v>
      </c>
      <c r="O242" s="616">
        <f t="shared" ca="1" si="12"/>
        <v>24</v>
      </c>
      <c r="P242" s="873">
        <f t="shared" ca="1" si="15"/>
        <v>16500</v>
      </c>
      <c r="Q242" s="613" t="s">
        <v>4929</v>
      </c>
    </row>
    <row r="243" spans="2:17" ht="90" x14ac:dyDescent="0.25">
      <c r="B243" s="611">
        <v>45139</v>
      </c>
      <c r="C243" s="611">
        <v>45301</v>
      </c>
      <c r="D243" s="612" t="s">
        <v>4927</v>
      </c>
      <c r="E243" s="632" t="s">
        <v>5826</v>
      </c>
      <c r="F243" s="613" t="s">
        <v>4928</v>
      </c>
      <c r="G243" s="678" t="s">
        <v>18</v>
      </c>
      <c r="H243" s="613" t="s">
        <v>4930</v>
      </c>
      <c r="I243" s="613" t="s">
        <v>4662</v>
      </c>
      <c r="J243" s="623">
        <v>27500</v>
      </c>
      <c r="K243" s="873">
        <v>56.514400000000002</v>
      </c>
      <c r="L243" s="873">
        <f t="shared" si="13"/>
        <v>486.60164489050578</v>
      </c>
      <c r="M243" s="612">
        <v>60</v>
      </c>
      <c r="N243" s="615">
        <f t="shared" si="14"/>
        <v>458.33333333333331</v>
      </c>
      <c r="O243" s="616">
        <f t="shared" ca="1" si="12"/>
        <v>24</v>
      </c>
      <c r="P243" s="873">
        <f t="shared" ca="1" si="15"/>
        <v>16500</v>
      </c>
      <c r="Q243" s="613" t="s">
        <v>4929</v>
      </c>
    </row>
    <row r="244" spans="2:17" ht="90" x14ac:dyDescent="0.25">
      <c r="B244" s="611">
        <v>45139</v>
      </c>
      <c r="C244" s="611">
        <v>45301</v>
      </c>
      <c r="D244" s="612" t="s">
        <v>4927</v>
      </c>
      <c r="E244" s="632" t="s">
        <v>5827</v>
      </c>
      <c r="F244" s="613" t="s">
        <v>4928</v>
      </c>
      <c r="G244" s="678" t="s">
        <v>18</v>
      </c>
      <c r="H244" s="613" t="s">
        <v>4930</v>
      </c>
      <c r="I244" s="613" t="s">
        <v>4662</v>
      </c>
      <c r="J244" s="623">
        <v>27499.89</v>
      </c>
      <c r="K244" s="873">
        <v>56.514400000000002</v>
      </c>
      <c r="L244" s="873">
        <f t="shared" si="13"/>
        <v>486.5996984839262</v>
      </c>
      <c r="M244" s="612">
        <v>60</v>
      </c>
      <c r="N244" s="615">
        <f t="shared" si="14"/>
        <v>458.33150000000001</v>
      </c>
      <c r="O244" s="616">
        <f t="shared" ca="1" si="12"/>
        <v>24</v>
      </c>
      <c r="P244" s="873">
        <f t="shared" ca="1" si="15"/>
        <v>16499.934000000001</v>
      </c>
      <c r="Q244" s="613" t="s">
        <v>4929</v>
      </c>
    </row>
    <row r="245" spans="2:17" ht="114" customHeight="1" x14ac:dyDescent="0.25">
      <c r="B245" s="611">
        <v>45163</v>
      </c>
      <c r="C245" s="611">
        <v>45223</v>
      </c>
      <c r="D245" s="612" t="s">
        <v>6883</v>
      </c>
      <c r="E245" s="632" t="s">
        <v>6884</v>
      </c>
      <c r="F245" s="613" t="s">
        <v>6885</v>
      </c>
      <c r="G245" s="678" t="s">
        <v>6886</v>
      </c>
      <c r="H245" s="613" t="s">
        <v>6019</v>
      </c>
      <c r="I245" s="613" t="s">
        <v>4569</v>
      </c>
      <c r="J245" s="623">
        <v>14600000</v>
      </c>
      <c r="K245" s="873">
        <v>58.4</v>
      </c>
      <c r="L245" s="873">
        <f>+J245/K245</f>
        <v>250000</v>
      </c>
      <c r="M245" s="612">
        <v>60</v>
      </c>
      <c r="N245" s="615">
        <f>+J245/M245</f>
        <v>243333.33333333334</v>
      </c>
      <c r="O245" s="616">
        <f ca="1">IF(B245&lt;&gt;0,(ROUND((NOW()-B245)/30,0)),0)</f>
        <v>23</v>
      </c>
      <c r="P245" s="873">
        <f ca="1">IF(OR(J245=0,M245=0,O245=0),0,J245-(N245*O245))</f>
        <v>9003333.3333333321</v>
      </c>
      <c r="Q245" s="613" t="s">
        <v>6887</v>
      </c>
    </row>
    <row r="246" spans="2:17" ht="105" x14ac:dyDescent="0.25">
      <c r="B246" s="611">
        <v>45237</v>
      </c>
      <c r="C246" s="611">
        <v>45223</v>
      </c>
      <c r="D246" s="612" t="s">
        <v>6883</v>
      </c>
      <c r="E246" s="632" t="s">
        <v>6888</v>
      </c>
      <c r="F246" s="613" t="s">
        <v>6889</v>
      </c>
      <c r="G246" s="678" t="s">
        <v>18</v>
      </c>
      <c r="H246" s="613" t="s">
        <v>6019</v>
      </c>
      <c r="I246" s="613" t="s">
        <v>4569</v>
      </c>
      <c r="J246" s="623">
        <v>300643</v>
      </c>
      <c r="K246" s="873">
        <v>58.4</v>
      </c>
      <c r="L246" s="873">
        <f>+J246/K246</f>
        <v>5147.9965753424658</v>
      </c>
      <c r="M246" s="612">
        <v>60</v>
      </c>
      <c r="N246" s="615">
        <f>+J246/M246</f>
        <v>5010.7166666666662</v>
      </c>
      <c r="O246" s="616">
        <f ca="1">IF(B246&lt;&gt;0,(ROUND((NOW()-B246)/30,0)),0)</f>
        <v>20</v>
      </c>
      <c r="P246" s="873">
        <f ca="1">IF(OR(J246=0,M246=0,O246=0),0,J246-(N246*O246))</f>
        <v>200428.66666666669</v>
      </c>
      <c r="Q246" s="613" t="s">
        <v>6887</v>
      </c>
    </row>
    <row r="247" spans="2:17" ht="105" x14ac:dyDescent="0.25">
      <c r="B247" s="611">
        <v>45240</v>
      </c>
      <c r="C247" s="611">
        <v>45223</v>
      </c>
      <c r="D247" s="612" t="s">
        <v>6890</v>
      </c>
      <c r="E247" s="632" t="s">
        <v>6891</v>
      </c>
      <c r="F247" s="613" t="s">
        <v>6892</v>
      </c>
      <c r="G247" s="678" t="s">
        <v>18</v>
      </c>
      <c r="H247" s="613" t="s">
        <v>6019</v>
      </c>
      <c r="I247" s="613" t="s">
        <v>4569</v>
      </c>
      <c r="J247" s="623">
        <v>146295.25</v>
      </c>
      <c r="K247" s="873">
        <v>58.4</v>
      </c>
      <c r="L247" s="873">
        <f t="shared" si="13"/>
        <v>2505.0556506849316</v>
      </c>
      <c r="M247" s="612">
        <v>60</v>
      </c>
      <c r="N247" s="615">
        <f t="shared" si="14"/>
        <v>2438.2541666666666</v>
      </c>
      <c r="O247" s="616">
        <f t="shared" ca="1" si="12"/>
        <v>20</v>
      </c>
      <c r="P247" s="873">
        <f t="shared" ca="1" si="15"/>
        <v>97530.166666666672</v>
      </c>
      <c r="Q247" s="613" t="s">
        <v>6887</v>
      </c>
    </row>
    <row r="248" spans="2:17" ht="105" x14ac:dyDescent="0.25">
      <c r="B248" s="611">
        <v>45240</v>
      </c>
      <c r="C248" s="611">
        <v>45224</v>
      </c>
      <c r="D248" s="612" t="s">
        <v>6890</v>
      </c>
      <c r="E248" s="632" t="s">
        <v>6893</v>
      </c>
      <c r="F248" s="613" t="s">
        <v>6894</v>
      </c>
      <c r="G248" s="678" t="s">
        <v>18</v>
      </c>
      <c r="H248" s="613" t="s">
        <v>6019</v>
      </c>
      <c r="I248" s="613" t="s">
        <v>4569</v>
      </c>
      <c r="J248" s="623">
        <v>235076.27</v>
      </c>
      <c r="K248" s="873">
        <v>58.4</v>
      </c>
      <c r="L248" s="873">
        <f t="shared" si="13"/>
        <v>4025.278595890411</v>
      </c>
      <c r="M248" s="612">
        <v>60</v>
      </c>
      <c r="N248" s="615">
        <f t="shared" si="14"/>
        <v>3917.9378333333329</v>
      </c>
      <c r="O248" s="616">
        <f t="shared" ca="1" si="12"/>
        <v>20</v>
      </c>
      <c r="P248" s="873">
        <f t="shared" ca="1" si="15"/>
        <v>156717.51333333334</v>
      </c>
      <c r="Q248" s="613" t="s">
        <v>6887</v>
      </c>
    </row>
    <row r="249" spans="2:17" ht="58.5" customHeight="1" x14ac:dyDescent="0.25">
      <c r="B249" s="611">
        <v>45240</v>
      </c>
      <c r="C249" s="611">
        <v>45225</v>
      </c>
      <c r="D249" s="612" t="s">
        <v>6890</v>
      </c>
      <c r="E249" s="632" t="s">
        <v>6895</v>
      </c>
      <c r="F249" s="613" t="s">
        <v>6896</v>
      </c>
      <c r="G249" s="678" t="s">
        <v>18</v>
      </c>
      <c r="H249" s="613" t="s">
        <v>6019</v>
      </c>
      <c r="I249" s="613" t="s">
        <v>4569</v>
      </c>
      <c r="J249" s="623">
        <v>30822.28</v>
      </c>
      <c r="K249" s="873">
        <v>58.4</v>
      </c>
      <c r="L249" s="873">
        <f t="shared" si="13"/>
        <v>527.77876712328771</v>
      </c>
      <c r="M249" s="612">
        <v>60</v>
      </c>
      <c r="N249" s="615">
        <f t="shared" si="14"/>
        <v>513.70466666666664</v>
      </c>
      <c r="O249" s="616">
        <f t="shared" ca="1" si="12"/>
        <v>20</v>
      </c>
      <c r="P249" s="873">
        <f t="shared" ca="1" si="15"/>
        <v>20548.186666666668</v>
      </c>
      <c r="Q249" s="613" t="s">
        <v>6887</v>
      </c>
    </row>
    <row r="250" spans="2:17" ht="58.5" customHeight="1" x14ac:dyDescent="0.25">
      <c r="B250" s="611">
        <v>45240</v>
      </c>
      <c r="C250" s="611">
        <v>45226</v>
      </c>
      <c r="D250" s="612" t="s">
        <v>6890</v>
      </c>
      <c r="E250" s="632" t="s">
        <v>6897</v>
      </c>
      <c r="F250" s="613" t="s">
        <v>6898</v>
      </c>
      <c r="G250" s="678" t="s">
        <v>18</v>
      </c>
      <c r="H250" s="613" t="s">
        <v>6019</v>
      </c>
      <c r="I250" s="613" t="s">
        <v>4569</v>
      </c>
      <c r="J250" s="623">
        <v>133172.25</v>
      </c>
      <c r="K250" s="873">
        <v>58.4</v>
      </c>
      <c r="L250" s="873">
        <f t="shared" si="13"/>
        <v>2280.3467465753424</v>
      </c>
      <c r="M250" s="612">
        <v>60</v>
      </c>
      <c r="N250" s="615">
        <f t="shared" si="14"/>
        <v>2219.5374999999999</v>
      </c>
      <c r="O250" s="616">
        <f t="shared" ca="1" si="12"/>
        <v>20</v>
      </c>
      <c r="P250" s="873">
        <f t="shared" ca="1" si="15"/>
        <v>88781.5</v>
      </c>
      <c r="Q250" s="613" t="s">
        <v>6887</v>
      </c>
    </row>
    <row r="251" spans="2:17" ht="75" x14ac:dyDescent="0.25">
      <c r="B251" s="611">
        <v>45281</v>
      </c>
      <c r="C251" s="611">
        <v>45443</v>
      </c>
      <c r="D251" s="612" t="s">
        <v>4978</v>
      </c>
      <c r="E251" s="632" t="s">
        <v>5828</v>
      </c>
      <c r="F251" s="613" t="s">
        <v>4979</v>
      </c>
      <c r="G251" s="613" t="s">
        <v>4980</v>
      </c>
      <c r="H251" s="613" t="s">
        <v>4569</v>
      </c>
      <c r="I251" s="613" t="s">
        <v>4569</v>
      </c>
      <c r="J251" s="623">
        <v>94690.16</v>
      </c>
      <c r="K251" s="873">
        <v>57.826500000000003</v>
      </c>
      <c r="L251" s="873">
        <f t="shared" si="13"/>
        <v>1637.4873111808599</v>
      </c>
      <c r="M251" s="612">
        <v>60</v>
      </c>
      <c r="N251" s="615">
        <f t="shared" si="14"/>
        <v>1578.1693333333335</v>
      </c>
      <c r="O251" s="616">
        <f ca="1">IF(C251&lt;&gt;0,(ROUND((NOW()-C251)/30,0)),0)</f>
        <v>14</v>
      </c>
      <c r="P251" s="873">
        <f t="shared" ca="1" si="15"/>
        <v>72595.789333333334</v>
      </c>
      <c r="Q251" s="613" t="s">
        <v>4952</v>
      </c>
    </row>
    <row r="252" spans="2:17" ht="75" x14ac:dyDescent="0.25">
      <c r="B252" s="611">
        <v>45281</v>
      </c>
      <c r="C252" s="611">
        <v>45443</v>
      </c>
      <c r="D252" s="612" t="s">
        <v>4978</v>
      </c>
      <c r="E252" s="632" t="s">
        <v>5829</v>
      </c>
      <c r="F252" s="613" t="s">
        <v>4979</v>
      </c>
      <c r="G252" s="613" t="s">
        <v>4981</v>
      </c>
      <c r="H252" s="613" t="s">
        <v>4569</v>
      </c>
      <c r="I252" s="613" t="s">
        <v>4569</v>
      </c>
      <c r="J252" s="623">
        <v>94690.16</v>
      </c>
      <c r="K252" s="873">
        <v>57.826500000000003</v>
      </c>
      <c r="L252" s="873">
        <f t="shared" si="13"/>
        <v>1637.4873111808599</v>
      </c>
      <c r="M252" s="612">
        <v>60</v>
      </c>
      <c r="N252" s="615">
        <f t="shared" si="14"/>
        <v>1578.1693333333335</v>
      </c>
      <c r="O252" s="616">
        <f t="shared" ref="O252:O257" ca="1" si="16">IF(C252&lt;&gt;0,(ROUND((NOW()-C252)/30,0)),0)</f>
        <v>14</v>
      </c>
      <c r="P252" s="873">
        <f t="shared" ca="1" si="15"/>
        <v>72595.789333333334</v>
      </c>
      <c r="Q252" s="613" t="s">
        <v>4952</v>
      </c>
    </row>
    <row r="253" spans="2:17" ht="75" x14ac:dyDescent="0.25">
      <c r="B253" s="611">
        <v>45281</v>
      </c>
      <c r="C253" s="611">
        <v>45443</v>
      </c>
      <c r="D253" s="612" t="s">
        <v>4978</v>
      </c>
      <c r="E253" s="632" t="s">
        <v>5806</v>
      </c>
      <c r="F253" s="613" t="s">
        <v>4979</v>
      </c>
      <c r="G253" s="613" t="s">
        <v>4982</v>
      </c>
      <c r="H253" s="613" t="s">
        <v>4569</v>
      </c>
      <c r="I253" s="613" t="s">
        <v>4569</v>
      </c>
      <c r="J253" s="623">
        <v>94690.16</v>
      </c>
      <c r="K253" s="873">
        <v>57.826500000000003</v>
      </c>
      <c r="L253" s="873">
        <f t="shared" si="13"/>
        <v>1637.4873111808599</v>
      </c>
      <c r="M253" s="612">
        <v>60</v>
      </c>
      <c r="N253" s="615">
        <f t="shared" si="14"/>
        <v>1578.1693333333335</v>
      </c>
      <c r="O253" s="616">
        <f t="shared" ca="1" si="16"/>
        <v>14</v>
      </c>
      <c r="P253" s="873">
        <f t="shared" ca="1" si="15"/>
        <v>72595.789333333334</v>
      </c>
      <c r="Q253" s="613" t="s">
        <v>4952</v>
      </c>
    </row>
    <row r="254" spans="2:17" ht="75" x14ac:dyDescent="0.25">
      <c r="B254" s="611">
        <v>45281</v>
      </c>
      <c r="C254" s="611">
        <v>45443</v>
      </c>
      <c r="D254" s="612" t="s">
        <v>4978</v>
      </c>
      <c r="E254" s="632" t="s">
        <v>5807</v>
      </c>
      <c r="F254" s="613" t="s">
        <v>4979</v>
      </c>
      <c r="G254" s="613" t="s">
        <v>4983</v>
      </c>
      <c r="H254" s="613" t="s">
        <v>4569</v>
      </c>
      <c r="I254" s="613" t="s">
        <v>4569</v>
      </c>
      <c r="J254" s="623">
        <v>94690.16</v>
      </c>
      <c r="K254" s="873">
        <v>57.826500000000003</v>
      </c>
      <c r="L254" s="873">
        <f t="shared" si="13"/>
        <v>1637.4873111808599</v>
      </c>
      <c r="M254" s="612">
        <v>60</v>
      </c>
      <c r="N254" s="615">
        <f t="shared" si="14"/>
        <v>1578.1693333333335</v>
      </c>
      <c r="O254" s="616">
        <f t="shared" ca="1" si="16"/>
        <v>14</v>
      </c>
      <c r="P254" s="873">
        <f t="shared" ca="1" si="15"/>
        <v>72595.789333333334</v>
      </c>
      <c r="Q254" s="613" t="s">
        <v>4952</v>
      </c>
    </row>
    <row r="255" spans="2:17" ht="75" x14ac:dyDescent="0.25">
      <c r="B255" s="611">
        <v>45281</v>
      </c>
      <c r="C255" s="611">
        <v>45443</v>
      </c>
      <c r="D255" s="612" t="s">
        <v>4978</v>
      </c>
      <c r="E255" s="632" t="s">
        <v>5831</v>
      </c>
      <c r="F255" s="613" t="s">
        <v>4979</v>
      </c>
      <c r="G255" s="613" t="s">
        <v>4984</v>
      </c>
      <c r="H255" s="613" t="s">
        <v>4569</v>
      </c>
      <c r="I255" s="613" t="s">
        <v>4569</v>
      </c>
      <c r="J255" s="623">
        <v>94690.16</v>
      </c>
      <c r="K255" s="873">
        <v>57.826500000000003</v>
      </c>
      <c r="L255" s="873">
        <f t="shared" si="13"/>
        <v>1637.4873111808599</v>
      </c>
      <c r="M255" s="612">
        <v>60</v>
      </c>
      <c r="N255" s="615">
        <f t="shared" si="14"/>
        <v>1578.1693333333335</v>
      </c>
      <c r="O255" s="616">
        <f t="shared" ca="1" si="16"/>
        <v>14</v>
      </c>
      <c r="P255" s="873">
        <f t="shared" ca="1" si="15"/>
        <v>72595.789333333334</v>
      </c>
      <c r="Q255" s="613" t="s">
        <v>4952</v>
      </c>
    </row>
    <row r="256" spans="2:17" ht="75" x14ac:dyDescent="0.25">
      <c r="B256" s="611">
        <v>45281</v>
      </c>
      <c r="C256" s="611">
        <v>45443</v>
      </c>
      <c r="D256" s="612" t="s">
        <v>4978</v>
      </c>
      <c r="E256" s="632" t="s">
        <v>6853</v>
      </c>
      <c r="F256" s="613" t="s">
        <v>4979</v>
      </c>
      <c r="G256" s="613" t="s">
        <v>4985</v>
      </c>
      <c r="H256" s="613" t="s">
        <v>4569</v>
      </c>
      <c r="I256" s="613" t="s">
        <v>4569</v>
      </c>
      <c r="J256" s="623">
        <v>94690.16</v>
      </c>
      <c r="K256" s="873">
        <v>57.826500000000003</v>
      </c>
      <c r="L256" s="873">
        <f t="shared" si="13"/>
        <v>1637.4873111808599</v>
      </c>
      <c r="M256" s="612">
        <v>60</v>
      </c>
      <c r="N256" s="615">
        <f t="shared" si="14"/>
        <v>1578.1693333333335</v>
      </c>
      <c r="O256" s="616">
        <f t="shared" ca="1" si="16"/>
        <v>14</v>
      </c>
      <c r="P256" s="873">
        <f t="shared" ca="1" si="15"/>
        <v>72595.789333333334</v>
      </c>
      <c r="Q256" s="613" t="s">
        <v>4952</v>
      </c>
    </row>
    <row r="257" spans="2:17" ht="75" x14ac:dyDescent="0.25">
      <c r="B257" s="611">
        <v>45281</v>
      </c>
      <c r="C257" s="611">
        <v>45443</v>
      </c>
      <c r="D257" s="612" t="s">
        <v>4978</v>
      </c>
      <c r="E257" s="632" t="s">
        <v>6858</v>
      </c>
      <c r="F257" s="613" t="s">
        <v>4979</v>
      </c>
      <c r="G257" s="613" t="s">
        <v>4986</v>
      </c>
      <c r="H257" s="613" t="s">
        <v>4569</v>
      </c>
      <c r="I257" s="613" t="s">
        <v>4569</v>
      </c>
      <c r="J257" s="623">
        <v>94690.15</v>
      </c>
      <c r="K257" s="873">
        <v>57.826500000000003</v>
      </c>
      <c r="L257" s="873">
        <f t="shared" si="13"/>
        <v>1637.4871382497643</v>
      </c>
      <c r="M257" s="612">
        <v>60</v>
      </c>
      <c r="N257" s="615">
        <f t="shared" si="14"/>
        <v>1578.1691666666666</v>
      </c>
      <c r="O257" s="616">
        <f t="shared" ca="1" si="16"/>
        <v>14</v>
      </c>
      <c r="P257" s="873">
        <f t="shared" ca="1" si="15"/>
        <v>72595.781666666662</v>
      </c>
      <c r="Q257" s="613" t="s">
        <v>4952</v>
      </c>
    </row>
    <row r="258" spans="2:17" ht="45" x14ac:dyDescent="0.25">
      <c r="B258" s="611">
        <v>45307</v>
      </c>
      <c r="C258" s="611">
        <v>45330</v>
      </c>
      <c r="D258" s="612" t="s">
        <v>4940</v>
      </c>
      <c r="E258" s="632" t="s">
        <v>6859</v>
      </c>
      <c r="F258" s="613" t="s">
        <v>4941</v>
      </c>
      <c r="G258" s="696" t="s">
        <v>5792</v>
      </c>
      <c r="H258" s="613" t="s">
        <v>4930</v>
      </c>
      <c r="I258" s="613" t="s">
        <v>4662</v>
      </c>
      <c r="J258" s="687">
        <v>5585171.4500000002</v>
      </c>
      <c r="K258" s="873">
        <v>59.035699999999999</v>
      </c>
      <c r="L258" s="873">
        <f t="shared" si="13"/>
        <v>94606.677823757491</v>
      </c>
      <c r="M258" s="612">
        <v>60</v>
      </c>
      <c r="N258" s="615">
        <f t="shared" si="14"/>
        <v>93086.190833333341</v>
      </c>
      <c r="O258" s="616">
        <f t="shared" ca="1" si="12"/>
        <v>18</v>
      </c>
      <c r="P258" s="873">
        <f t="shared" ca="1" si="15"/>
        <v>3909620.0150000001</v>
      </c>
      <c r="Q258" s="613" t="s">
        <v>4952</v>
      </c>
    </row>
    <row r="259" spans="2:17" ht="45" x14ac:dyDescent="0.25">
      <c r="B259" s="611">
        <v>45324</v>
      </c>
      <c r="C259" s="611">
        <v>45343</v>
      </c>
      <c r="D259" s="612" t="s">
        <v>4953</v>
      </c>
      <c r="E259" s="613" t="s">
        <v>28</v>
      </c>
      <c r="F259" s="613" t="s">
        <v>4954</v>
      </c>
      <c r="G259" s="678" t="s">
        <v>18</v>
      </c>
      <c r="H259" s="613" t="s">
        <v>4930</v>
      </c>
      <c r="I259" s="613" t="s">
        <v>4662</v>
      </c>
      <c r="J259" s="623">
        <v>18932.62</v>
      </c>
      <c r="K259" s="873">
        <v>58.6736</v>
      </c>
      <c r="L259" s="873">
        <f>+J259/K259</f>
        <v>322.67697908429</v>
      </c>
      <c r="M259" s="612">
        <v>60</v>
      </c>
      <c r="N259" s="615">
        <f>+J259/M259</f>
        <v>315.54366666666664</v>
      </c>
      <c r="O259" s="616">
        <f ca="1">IF(B259&lt;&gt;0,(ROUND((NOW()-B259)/30,0)),0)</f>
        <v>17</v>
      </c>
      <c r="P259" s="873">
        <f ca="1">IF(OR(J259=0,M259=0,O259=0),0,J259-(N259*O259))</f>
        <v>13568.377666666667</v>
      </c>
      <c r="Q259" s="613" t="s">
        <v>4946</v>
      </c>
    </row>
    <row r="260" spans="2:17" ht="105" x14ac:dyDescent="0.25">
      <c r="B260" s="611">
        <v>45332</v>
      </c>
      <c r="C260" s="611">
        <v>45338</v>
      </c>
      <c r="D260" s="612" t="s">
        <v>6899</v>
      </c>
      <c r="E260" s="613" t="s">
        <v>28</v>
      </c>
      <c r="F260" s="613" t="s">
        <v>6900</v>
      </c>
      <c r="G260" s="678" t="s">
        <v>18</v>
      </c>
      <c r="H260" s="613" t="s">
        <v>6019</v>
      </c>
      <c r="I260" s="613" t="s">
        <v>4569</v>
      </c>
      <c r="J260" s="623">
        <v>963527</v>
      </c>
      <c r="K260" s="873">
        <v>59.8</v>
      </c>
      <c r="L260" s="873">
        <f>+J260/K260</f>
        <v>16112.491638795987</v>
      </c>
      <c r="M260" s="612">
        <v>60</v>
      </c>
      <c r="N260" s="615">
        <f>+J260/M260</f>
        <v>16058.783333333333</v>
      </c>
      <c r="O260" s="616">
        <f ca="1">IF(B260&lt;&gt;0,(ROUND((NOW()-B260)/30,0)),0)</f>
        <v>17</v>
      </c>
      <c r="P260" s="873">
        <f ca="1">IF(OR(J260=0,M260=0,O260=0),0,J260-(N260*O260))</f>
        <v>690527.68333333335</v>
      </c>
      <c r="Q260" s="613" t="s">
        <v>6887</v>
      </c>
    </row>
    <row r="261" spans="2:17" ht="105" x14ac:dyDescent="0.25">
      <c r="B261" s="611">
        <v>45332</v>
      </c>
      <c r="C261" s="611">
        <v>45338</v>
      </c>
      <c r="D261" s="612" t="s">
        <v>6899</v>
      </c>
      <c r="E261" s="613" t="s">
        <v>28</v>
      </c>
      <c r="F261" s="613" t="s">
        <v>6901</v>
      </c>
      <c r="G261" s="678" t="s">
        <v>18</v>
      </c>
      <c r="H261" s="613" t="s">
        <v>6019</v>
      </c>
      <c r="I261" s="613" t="s">
        <v>4569</v>
      </c>
      <c r="J261" s="623">
        <v>221308</v>
      </c>
      <c r="K261" s="873">
        <v>59.8</v>
      </c>
      <c r="L261" s="873">
        <f>+J261/K261</f>
        <v>3700.8026755852843</v>
      </c>
      <c r="M261" s="612">
        <v>60</v>
      </c>
      <c r="N261" s="615">
        <f>+J261/M261</f>
        <v>3688.4666666666667</v>
      </c>
      <c r="O261" s="616">
        <f ca="1">IF(B261&lt;&gt;0,(ROUND((NOW()-B261)/30,0)),0)</f>
        <v>17</v>
      </c>
      <c r="P261" s="873">
        <f ca="1">IF(OR(J261=0,M261=0,O261=0),0,J261-(N261*O261))</f>
        <v>158604.06666666665</v>
      </c>
      <c r="Q261" s="613" t="s">
        <v>6887</v>
      </c>
    </row>
    <row r="262" spans="2:17" ht="30" x14ac:dyDescent="0.25">
      <c r="B262" s="611">
        <v>45337</v>
      </c>
      <c r="C262" s="611">
        <v>45344</v>
      </c>
      <c r="D262" s="612" t="s">
        <v>4931</v>
      </c>
      <c r="E262" s="632" t="s">
        <v>6860</v>
      </c>
      <c r="F262" s="613" t="s">
        <v>4932</v>
      </c>
      <c r="G262" s="678" t="s">
        <v>18</v>
      </c>
      <c r="H262" s="613" t="s">
        <v>4930</v>
      </c>
      <c r="I262" s="613" t="s">
        <v>4662</v>
      </c>
      <c r="J262" s="623">
        <v>30978.71</v>
      </c>
      <c r="K262" s="873">
        <v>58.472900000000003</v>
      </c>
      <c r="L262" s="873">
        <f t="shared" si="13"/>
        <v>529.79602516721422</v>
      </c>
      <c r="M262" s="612">
        <v>60</v>
      </c>
      <c r="N262" s="615">
        <f t="shared" si="14"/>
        <v>516.31183333333331</v>
      </c>
      <c r="O262" s="616">
        <f t="shared" ca="1" si="12"/>
        <v>17</v>
      </c>
      <c r="P262" s="873">
        <f t="shared" ca="1" si="15"/>
        <v>22201.408833333335</v>
      </c>
      <c r="Q262" s="613" t="s">
        <v>4929</v>
      </c>
    </row>
    <row r="263" spans="2:17" ht="30" x14ac:dyDescent="0.25">
      <c r="B263" s="611">
        <v>45337</v>
      </c>
      <c r="C263" s="611">
        <v>45344</v>
      </c>
      <c r="D263" s="612" t="s">
        <v>4931</v>
      </c>
      <c r="E263" s="632" t="s">
        <v>6861</v>
      </c>
      <c r="F263" s="613" t="s">
        <v>4932</v>
      </c>
      <c r="G263" s="678" t="s">
        <v>18</v>
      </c>
      <c r="H263" s="613" t="s">
        <v>4930</v>
      </c>
      <c r="I263" s="613" t="s">
        <v>4662</v>
      </c>
      <c r="J263" s="623">
        <v>30978.71</v>
      </c>
      <c r="K263" s="873">
        <v>58.472900000000003</v>
      </c>
      <c r="L263" s="873">
        <f t="shared" si="13"/>
        <v>529.79602516721422</v>
      </c>
      <c r="M263" s="612">
        <v>60</v>
      </c>
      <c r="N263" s="615">
        <f t="shared" si="14"/>
        <v>516.31183333333331</v>
      </c>
      <c r="O263" s="616">
        <f t="shared" ca="1" si="12"/>
        <v>17</v>
      </c>
      <c r="P263" s="873">
        <f t="shared" ca="1" si="15"/>
        <v>22201.408833333335</v>
      </c>
      <c r="Q263" s="613" t="s">
        <v>4929</v>
      </c>
    </row>
    <row r="264" spans="2:17" ht="30" x14ac:dyDescent="0.25">
      <c r="B264" s="611">
        <v>45337</v>
      </c>
      <c r="C264" s="611">
        <v>45344</v>
      </c>
      <c r="D264" s="612" t="s">
        <v>4931</v>
      </c>
      <c r="E264" s="632" t="s">
        <v>6862</v>
      </c>
      <c r="F264" s="613" t="s">
        <v>4933</v>
      </c>
      <c r="G264" s="678" t="s">
        <v>18</v>
      </c>
      <c r="H264" s="613" t="s">
        <v>4930</v>
      </c>
      <c r="I264" s="613" t="s">
        <v>4662</v>
      </c>
      <c r="J264" s="623">
        <v>21431.7</v>
      </c>
      <c r="K264" s="873">
        <v>58.472900000000003</v>
      </c>
      <c r="L264" s="873">
        <f t="shared" si="13"/>
        <v>366.52363744572273</v>
      </c>
      <c r="M264" s="612">
        <v>60</v>
      </c>
      <c r="N264" s="615">
        <f t="shared" si="14"/>
        <v>357.19499999999999</v>
      </c>
      <c r="O264" s="616">
        <f t="shared" ref="O264:O355" ca="1" si="17">IF(B264&lt;&gt;0,(ROUND((NOW()-B264)/30,0)),0)</f>
        <v>17</v>
      </c>
      <c r="P264" s="873">
        <f t="shared" ca="1" si="15"/>
        <v>15359.385000000002</v>
      </c>
      <c r="Q264" s="613" t="s">
        <v>4929</v>
      </c>
    </row>
    <row r="265" spans="2:17" ht="30" x14ac:dyDescent="0.25">
      <c r="B265" s="611">
        <v>45337</v>
      </c>
      <c r="C265" s="611">
        <v>45344</v>
      </c>
      <c r="D265" s="612" t="s">
        <v>4931</v>
      </c>
      <c r="E265" s="632" t="s">
        <v>6863</v>
      </c>
      <c r="F265" s="613" t="s">
        <v>4933</v>
      </c>
      <c r="G265" s="678" t="s">
        <v>18</v>
      </c>
      <c r="H265" s="613" t="s">
        <v>4930</v>
      </c>
      <c r="I265" s="613" t="s">
        <v>4662</v>
      </c>
      <c r="J265" s="623">
        <v>21431.7</v>
      </c>
      <c r="K265" s="873">
        <v>58.472900000000003</v>
      </c>
      <c r="L265" s="873">
        <f t="shared" si="13"/>
        <v>366.52363744572273</v>
      </c>
      <c r="M265" s="612">
        <v>60</v>
      </c>
      <c r="N265" s="615">
        <f t="shared" si="14"/>
        <v>357.19499999999999</v>
      </c>
      <c r="O265" s="616">
        <f t="shared" ca="1" si="17"/>
        <v>17</v>
      </c>
      <c r="P265" s="873">
        <f t="shared" ca="1" si="15"/>
        <v>15359.385000000002</v>
      </c>
      <c r="Q265" s="613" t="s">
        <v>4929</v>
      </c>
    </row>
    <row r="266" spans="2:17" ht="30" x14ac:dyDescent="0.25">
      <c r="B266" s="611">
        <v>45337</v>
      </c>
      <c r="C266" s="611">
        <v>45344</v>
      </c>
      <c r="D266" s="612" t="s">
        <v>4931</v>
      </c>
      <c r="E266" s="632" t="s">
        <v>6864</v>
      </c>
      <c r="F266" s="613" t="s">
        <v>4933</v>
      </c>
      <c r="G266" s="678" t="s">
        <v>18</v>
      </c>
      <c r="H266" s="613" t="s">
        <v>4930</v>
      </c>
      <c r="I266" s="613" t="s">
        <v>4662</v>
      </c>
      <c r="J266" s="623">
        <v>21431.7</v>
      </c>
      <c r="K266" s="873">
        <v>58.472900000000003</v>
      </c>
      <c r="L266" s="873">
        <f t="shared" si="13"/>
        <v>366.52363744572273</v>
      </c>
      <c r="M266" s="612">
        <v>60</v>
      </c>
      <c r="N266" s="615">
        <f t="shared" si="14"/>
        <v>357.19499999999999</v>
      </c>
      <c r="O266" s="616">
        <f t="shared" ca="1" si="17"/>
        <v>17</v>
      </c>
      <c r="P266" s="873">
        <f t="shared" ca="1" si="15"/>
        <v>15359.385000000002</v>
      </c>
      <c r="Q266" s="613" t="s">
        <v>4929</v>
      </c>
    </row>
    <row r="267" spans="2:17" ht="30" x14ac:dyDescent="0.25">
      <c r="B267" s="611">
        <v>45337</v>
      </c>
      <c r="C267" s="611">
        <v>45344</v>
      </c>
      <c r="D267" s="612" t="s">
        <v>4931</v>
      </c>
      <c r="E267" s="632" t="s">
        <v>6865</v>
      </c>
      <c r="F267" s="613" t="s">
        <v>4933</v>
      </c>
      <c r="G267" s="678" t="s">
        <v>18</v>
      </c>
      <c r="H267" s="613" t="s">
        <v>4930</v>
      </c>
      <c r="I267" s="613" t="s">
        <v>4662</v>
      </c>
      <c r="J267" s="623">
        <v>21431.7</v>
      </c>
      <c r="K267" s="873">
        <v>58.472900000000003</v>
      </c>
      <c r="L267" s="873">
        <f t="shared" si="13"/>
        <v>366.52363744572273</v>
      </c>
      <c r="M267" s="612">
        <v>60</v>
      </c>
      <c r="N267" s="615">
        <f t="shared" si="14"/>
        <v>357.19499999999999</v>
      </c>
      <c r="O267" s="616">
        <f t="shared" ca="1" si="17"/>
        <v>17</v>
      </c>
      <c r="P267" s="873">
        <f t="shared" ca="1" si="15"/>
        <v>15359.385000000002</v>
      </c>
      <c r="Q267" s="613" t="s">
        <v>4929</v>
      </c>
    </row>
    <row r="268" spans="2:17" ht="30" x14ac:dyDescent="0.25">
      <c r="B268" s="611">
        <v>45337</v>
      </c>
      <c r="C268" s="611">
        <v>45344</v>
      </c>
      <c r="D268" s="612" t="s">
        <v>4931</v>
      </c>
      <c r="E268" s="632" t="s">
        <v>6866</v>
      </c>
      <c r="F268" s="613" t="s">
        <v>4933</v>
      </c>
      <c r="G268" s="678" t="s">
        <v>18</v>
      </c>
      <c r="H268" s="613" t="s">
        <v>4930</v>
      </c>
      <c r="I268" s="613" t="s">
        <v>4662</v>
      </c>
      <c r="J268" s="623">
        <v>21431.7</v>
      </c>
      <c r="K268" s="873">
        <v>58.472900000000003</v>
      </c>
      <c r="L268" s="873">
        <f t="shared" si="13"/>
        <v>366.52363744572273</v>
      </c>
      <c r="M268" s="612">
        <v>60</v>
      </c>
      <c r="N268" s="615">
        <f t="shared" si="14"/>
        <v>357.19499999999999</v>
      </c>
      <c r="O268" s="616">
        <f t="shared" ca="1" si="17"/>
        <v>17</v>
      </c>
      <c r="P268" s="873">
        <f t="shared" ca="1" si="15"/>
        <v>15359.385000000002</v>
      </c>
      <c r="Q268" s="613" t="s">
        <v>4929</v>
      </c>
    </row>
    <row r="269" spans="2:17" ht="30" x14ac:dyDescent="0.25">
      <c r="B269" s="611">
        <v>45337</v>
      </c>
      <c r="C269" s="611">
        <v>45344</v>
      </c>
      <c r="D269" s="612" t="s">
        <v>4931</v>
      </c>
      <c r="E269" s="632" t="s">
        <v>6867</v>
      </c>
      <c r="F269" s="613" t="s">
        <v>4934</v>
      </c>
      <c r="G269" s="678" t="s">
        <v>18</v>
      </c>
      <c r="H269" s="613" t="s">
        <v>4930</v>
      </c>
      <c r="I269" s="613" t="s">
        <v>4662</v>
      </c>
      <c r="J269" s="623">
        <v>72583.33</v>
      </c>
      <c r="K269" s="873">
        <v>58.472900000000003</v>
      </c>
      <c r="L269" s="873">
        <f t="shared" si="13"/>
        <v>1241.3157206158751</v>
      </c>
      <c r="M269" s="612">
        <v>60</v>
      </c>
      <c r="N269" s="615">
        <f t="shared" si="14"/>
        <v>1209.7221666666667</v>
      </c>
      <c r="O269" s="616">
        <f t="shared" ca="1" si="17"/>
        <v>17</v>
      </c>
      <c r="P269" s="873">
        <f t="shared" ca="1" si="15"/>
        <v>52018.053166666665</v>
      </c>
      <c r="Q269" s="613" t="s">
        <v>4929</v>
      </c>
    </row>
    <row r="270" spans="2:17" ht="30" x14ac:dyDescent="0.25">
      <c r="B270" s="611">
        <v>45337</v>
      </c>
      <c r="C270" s="611">
        <v>45344</v>
      </c>
      <c r="D270" s="612" t="s">
        <v>4931</v>
      </c>
      <c r="E270" s="632" t="s">
        <v>6868</v>
      </c>
      <c r="F270" s="613" t="s">
        <v>4939</v>
      </c>
      <c r="G270" s="678"/>
      <c r="H270" s="613" t="s">
        <v>4930</v>
      </c>
      <c r="I270" s="613" t="s">
        <v>4662</v>
      </c>
      <c r="J270" s="623">
        <v>43043.23</v>
      </c>
      <c r="K270" s="873">
        <v>58.472900000000003</v>
      </c>
      <c r="L270" s="873">
        <f t="shared" si="13"/>
        <v>736.1227166772984</v>
      </c>
      <c r="M270" s="612">
        <v>60</v>
      </c>
      <c r="N270" s="615">
        <f t="shared" si="14"/>
        <v>717.38716666666676</v>
      </c>
      <c r="O270" s="616">
        <f t="shared" ca="1" si="17"/>
        <v>17</v>
      </c>
      <c r="P270" s="873">
        <f t="shared" ca="1" si="15"/>
        <v>30847.648166666666</v>
      </c>
      <c r="Q270" s="613" t="s">
        <v>4929</v>
      </c>
    </row>
    <row r="271" spans="2:17" ht="30" x14ac:dyDescent="0.25">
      <c r="B271" s="611">
        <v>45337</v>
      </c>
      <c r="C271" s="611">
        <v>45344</v>
      </c>
      <c r="D271" s="612" t="s">
        <v>4931</v>
      </c>
      <c r="E271" s="632" t="s">
        <v>6869</v>
      </c>
      <c r="F271" s="613" t="s">
        <v>4935</v>
      </c>
      <c r="G271" s="678" t="s">
        <v>18</v>
      </c>
      <c r="H271" s="613" t="s">
        <v>4930</v>
      </c>
      <c r="I271" s="613" t="s">
        <v>4662</v>
      </c>
      <c r="J271" s="623">
        <v>39544.85</v>
      </c>
      <c r="K271" s="873">
        <v>58.472900000000003</v>
      </c>
      <c r="L271" s="873">
        <f t="shared" si="13"/>
        <v>676.2936334609708</v>
      </c>
      <c r="M271" s="612">
        <v>60</v>
      </c>
      <c r="N271" s="615">
        <f t="shared" si="14"/>
        <v>659.08083333333332</v>
      </c>
      <c r="O271" s="616">
        <f t="shared" ca="1" si="17"/>
        <v>17</v>
      </c>
      <c r="P271" s="873">
        <f t="shared" ca="1" si="15"/>
        <v>28340.47583333333</v>
      </c>
      <c r="Q271" s="613" t="s">
        <v>4929</v>
      </c>
    </row>
    <row r="272" spans="2:17" ht="30" x14ac:dyDescent="0.25">
      <c r="B272" s="611">
        <v>45337</v>
      </c>
      <c r="C272" s="611">
        <v>45344</v>
      </c>
      <c r="D272" s="612" t="s">
        <v>4931</v>
      </c>
      <c r="E272" s="632" t="s">
        <v>6870</v>
      </c>
      <c r="F272" s="613" t="s">
        <v>4935</v>
      </c>
      <c r="G272" s="678"/>
      <c r="H272" s="613" t="s">
        <v>4930</v>
      </c>
      <c r="I272" s="613" t="s">
        <v>4662</v>
      </c>
      <c r="J272" s="623">
        <v>39544.85</v>
      </c>
      <c r="K272" s="873">
        <v>58.472900000000003</v>
      </c>
      <c r="L272" s="873">
        <f t="shared" si="13"/>
        <v>676.2936334609708</v>
      </c>
      <c r="M272" s="612">
        <v>60</v>
      </c>
      <c r="N272" s="615">
        <f t="shared" si="14"/>
        <v>659.08083333333332</v>
      </c>
      <c r="O272" s="616">
        <f t="shared" ca="1" si="17"/>
        <v>17</v>
      </c>
      <c r="P272" s="873">
        <f t="shared" ca="1" si="15"/>
        <v>28340.47583333333</v>
      </c>
      <c r="Q272" s="613" t="s">
        <v>4929</v>
      </c>
    </row>
    <row r="273" spans="2:17" ht="30" x14ac:dyDescent="0.25">
      <c r="B273" s="611">
        <v>45337</v>
      </c>
      <c r="C273" s="611">
        <v>45344</v>
      </c>
      <c r="D273" s="612" t="s">
        <v>4931</v>
      </c>
      <c r="E273" s="632" t="s">
        <v>6871</v>
      </c>
      <c r="F273" s="613" t="s">
        <v>4936</v>
      </c>
      <c r="G273" s="678" t="s">
        <v>18</v>
      </c>
      <c r="H273" s="613" t="s">
        <v>4930</v>
      </c>
      <c r="I273" s="613" t="s">
        <v>4662</v>
      </c>
      <c r="J273" s="623">
        <v>28608.3</v>
      </c>
      <c r="K273" s="873">
        <v>58.472900000000003</v>
      </c>
      <c r="L273" s="873">
        <f t="shared" ref="L273:L356" si="18">+J273/K273</f>
        <v>489.25741668362605</v>
      </c>
      <c r="M273" s="612">
        <v>60</v>
      </c>
      <c r="N273" s="615">
        <f t="shared" ref="N273:N355" si="19">+J273/M273</f>
        <v>476.80500000000001</v>
      </c>
      <c r="O273" s="616">
        <f t="shared" ca="1" si="17"/>
        <v>17</v>
      </c>
      <c r="P273" s="873">
        <f t="shared" ref="P273:P285" ca="1" si="20">IF(OR(J273=0,M273=0,O273=0),0,J273-(N273*O273))</f>
        <v>20502.614999999998</v>
      </c>
      <c r="Q273" s="613" t="s">
        <v>4929</v>
      </c>
    </row>
    <row r="274" spans="2:17" ht="30" x14ac:dyDescent="0.25">
      <c r="B274" s="611">
        <v>45337</v>
      </c>
      <c r="C274" s="611">
        <v>45344</v>
      </c>
      <c r="D274" s="612" t="s">
        <v>4931</v>
      </c>
      <c r="E274" s="632" t="s">
        <v>6872</v>
      </c>
      <c r="F274" s="613" t="s">
        <v>4937</v>
      </c>
      <c r="G274" s="678" t="s">
        <v>18</v>
      </c>
      <c r="H274" s="613" t="s">
        <v>4930</v>
      </c>
      <c r="I274" s="613" t="s">
        <v>4662</v>
      </c>
      <c r="J274" s="623">
        <v>13078.08</v>
      </c>
      <c r="K274" s="873">
        <v>58.472900000000003</v>
      </c>
      <c r="L274" s="873">
        <f t="shared" si="18"/>
        <v>223.66053334108619</v>
      </c>
      <c r="M274" s="612">
        <v>60</v>
      </c>
      <c r="N274" s="615">
        <f t="shared" si="19"/>
        <v>217.96799999999999</v>
      </c>
      <c r="O274" s="616">
        <f t="shared" ca="1" si="17"/>
        <v>17</v>
      </c>
      <c r="P274" s="873">
        <f t="shared" ca="1" si="20"/>
        <v>9372.6239999999998</v>
      </c>
      <c r="Q274" s="613" t="s">
        <v>4929</v>
      </c>
    </row>
    <row r="275" spans="2:17" ht="30" x14ac:dyDescent="0.25">
      <c r="B275" s="611">
        <v>45337</v>
      </c>
      <c r="C275" s="611">
        <v>45344</v>
      </c>
      <c r="D275" s="612" t="s">
        <v>4931</v>
      </c>
      <c r="E275" s="613" t="s">
        <v>5794</v>
      </c>
      <c r="F275" s="613" t="s">
        <v>4938</v>
      </c>
      <c r="G275" s="678" t="s">
        <v>18</v>
      </c>
      <c r="H275" s="613" t="s">
        <v>4930</v>
      </c>
      <c r="I275" s="613" t="s">
        <v>4662</v>
      </c>
      <c r="J275" s="623">
        <v>37031.64</v>
      </c>
      <c r="K275" s="873">
        <v>58.472900000000003</v>
      </c>
      <c r="L275" s="873">
        <f t="shared" si="18"/>
        <v>633.31286801236126</v>
      </c>
      <c r="M275" s="612">
        <v>60</v>
      </c>
      <c r="N275" s="615">
        <f t="shared" si="19"/>
        <v>617.19399999999996</v>
      </c>
      <c r="O275" s="616">
        <f t="shared" ca="1" si="17"/>
        <v>17</v>
      </c>
      <c r="P275" s="873">
        <f t="shared" ca="1" si="20"/>
        <v>26539.342000000001</v>
      </c>
      <c r="Q275" s="613" t="s">
        <v>4929</v>
      </c>
    </row>
    <row r="276" spans="2:17" ht="30" x14ac:dyDescent="0.25">
      <c r="B276" s="611">
        <v>45337</v>
      </c>
      <c r="C276" s="611">
        <v>45344</v>
      </c>
      <c r="D276" s="612" t="s">
        <v>4931</v>
      </c>
      <c r="E276" s="613" t="s">
        <v>5795</v>
      </c>
      <c r="F276" s="613" t="s">
        <v>4938</v>
      </c>
      <c r="G276" s="678" t="s">
        <v>18</v>
      </c>
      <c r="H276" s="613" t="s">
        <v>4930</v>
      </c>
      <c r="I276" s="613" t="s">
        <v>4662</v>
      </c>
      <c r="J276" s="623">
        <v>37031.64</v>
      </c>
      <c r="K276" s="873">
        <v>58.472900000000003</v>
      </c>
      <c r="L276" s="873">
        <f t="shared" si="18"/>
        <v>633.31286801236126</v>
      </c>
      <c r="M276" s="612">
        <v>60</v>
      </c>
      <c r="N276" s="615">
        <f t="shared" si="19"/>
        <v>617.19399999999996</v>
      </c>
      <c r="O276" s="616">
        <f t="shared" ca="1" si="17"/>
        <v>17</v>
      </c>
      <c r="P276" s="873">
        <f t="shared" ca="1" si="20"/>
        <v>26539.342000000001</v>
      </c>
      <c r="Q276" s="613" t="s">
        <v>4929</v>
      </c>
    </row>
    <row r="277" spans="2:17" ht="30" x14ac:dyDescent="0.25">
      <c r="B277" s="611">
        <v>45337</v>
      </c>
      <c r="C277" s="611">
        <v>45344</v>
      </c>
      <c r="D277" s="612" t="s">
        <v>4931</v>
      </c>
      <c r="E277" s="613" t="s">
        <v>5796</v>
      </c>
      <c r="F277" s="613" t="s">
        <v>4938</v>
      </c>
      <c r="G277" s="678" t="s">
        <v>18</v>
      </c>
      <c r="H277" s="613" t="s">
        <v>4930</v>
      </c>
      <c r="I277" s="613" t="s">
        <v>4662</v>
      </c>
      <c r="J277" s="623">
        <v>37031.64</v>
      </c>
      <c r="K277" s="873">
        <v>58.472900000000003</v>
      </c>
      <c r="L277" s="873">
        <f t="shared" si="18"/>
        <v>633.31286801236126</v>
      </c>
      <c r="M277" s="612">
        <v>60</v>
      </c>
      <c r="N277" s="615">
        <f t="shared" si="19"/>
        <v>617.19399999999996</v>
      </c>
      <c r="O277" s="616">
        <f t="shared" ca="1" si="17"/>
        <v>17</v>
      </c>
      <c r="P277" s="873">
        <f t="shared" ca="1" si="20"/>
        <v>26539.342000000001</v>
      </c>
      <c r="Q277" s="613" t="s">
        <v>4929</v>
      </c>
    </row>
    <row r="278" spans="2:17" ht="30" x14ac:dyDescent="0.25">
      <c r="B278" s="611">
        <v>45337</v>
      </c>
      <c r="C278" s="611">
        <v>45344</v>
      </c>
      <c r="D278" s="612" t="s">
        <v>4931</v>
      </c>
      <c r="E278" s="613" t="s">
        <v>5797</v>
      </c>
      <c r="F278" s="613" t="s">
        <v>4938</v>
      </c>
      <c r="G278" s="678" t="s">
        <v>18</v>
      </c>
      <c r="H278" s="613" t="s">
        <v>4930</v>
      </c>
      <c r="I278" s="613" t="s">
        <v>4662</v>
      </c>
      <c r="J278" s="623">
        <v>37031.64</v>
      </c>
      <c r="K278" s="873">
        <v>58.472900000000003</v>
      </c>
      <c r="L278" s="873">
        <f t="shared" si="18"/>
        <v>633.31286801236126</v>
      </c>
      <c r="M278" s="612">
        <v>60</v>
      </c>
      <c r="N278" s="615">
        <f t="shared" si="19"/>
        <v>617.19399999999996</v>
      </c>
      <c r="O278" s="616">
        <f t="shared" ca="1" si="17"/>
        <v>17</v>
      </c>
      <c r="P278" s="873">
        <f t="shared" ca="1" si="20"/>
        <v>26539.342000000001</v>
      </c>
      <c r="Q278" s="613" t="s">
        <v>4929</v>
      </c>
    </row>
    <row r="279" spans="2:17" ht="30" x14ac:dyDescent="0.25">
      <c r="B279" s="611">
        <v>45337</v>
      </c>
      <c r="C279" s="611">
        <v>45344</v>
      </c>
      <c r="D279" s="612" t="s">
        <v>4931</v>
      </c>
      <c r="E279" s="613" t="s">
        <v>5798</v>
      </c>
      <c r="F279" s="613" t="s">
        <v>4938</v>
      </c>
      <c r="G279" s="678" t="s">
        <v>18</v>
      </c>
      <c r="H279" s="613" t="s">
        <v>4930</v>
      </c>
      <c r="I279" s="613" t="s">
        <v>4662</v>
      </c>
      <c r="J279" s="623">
        <v>37031.64</v>
      </c>
      <c r="K279" s="873">
        <v>58.472900000000003</v>
      </c>
      <c r="L279" s="873">
        <f t="shared" si="18"/>
        <v>633.31286801236126</v>
      </c>
      <c r="M279" s="612">
        <v>60</v>
      </c>
      <c r="N279" s="615">
        <f t="shared" si="19"/>
        <v>617.19399999999996</v>
      </c>
      <c r="O279" s="616">
        <f t="shared" ca="1" si="17"/>
        <v>17</v>
      </c>
      <c r="P279" s="873">
        <f t="shared" ca="1" si="20"/>
        <v>26539.342000000001</v>
      </c>
      <c r="Q279" s="613" t="s">
        <v>4929</v>
      </c>
    </row>
    <row r="280" spans="2:17" ht="30" x14ac:dyDescent="0.25">
      <c r="B280" s="611">
        <v>45337</v>
      </c>
      <c r="C280" s="611">
        <v>45344</v>
      </c>
      <c r="D280" s="612" t="s">
        <v>4931</v>
      </c>
      <c r="E280" s="613" t="s">
        <v>5799</v>
      </c>
      <c r="F280" s="613" t="s">
        <v>4938</v>
      </c>
      <c r="G280" s="678" t="s">
        <v>18</v>
      </c>
      <c r="H280" s="613" t="s">
        <v>4930</v>
      </c>
      <c r="I280" s="613" t="s">
        <v>4662</v>
      </c>
      <c r="J280" s="623">
        <v>37031.64</v>
      </c>
      <c r="K280" s="873">
        <v>58.472900000000003</v>
      </c>
      <c r="L280" s="873">
        <f t="shared" si="18"/>
        <v>633.31286801236126</v>
      </c>
      <c r="M280" s="612">
        <v>60</v>
      </c>
      <c r="N280" s="615">
        <f t="shared" si="19"/>
        <v>617.19399999999996</v>
      </c>
      <c r="O280" s="616">
        <f t="shared" ca="1" si="17"/>
        <v>17</v>
      </c>
      <c r="P280" s="873">
        <f t="shared" ca="1" si="20"/>
        <v>26539.342000000001</v>
      </c>
      <c r="Q280" s="613" t="s">
        <v>4929</v>
      </c>
    </row>
    <row r="281" spans="2:17" ht="30" x14ac:dyDescent="0.25">
      <c r="B281" s="611">
        <v>45337</v>
      </c>
      <c r="C281" s="611">
        <v>45344</v>
      </c>
      <c r="D281" s="612" t="s">
        <v>4931</v>
      </c>
      <c r="E281" s="613" t="s">
        <v>5800</v>
      </c>
      <c r="F281" s="613" t="s">
        <v>4938</v>
      </c>
      <c r="G281" s="678" t="s">
        <v>18</v>
      </c>
      <c r="H281" s="613" t="s">
        <v>4930</v>
      </c>
      <c r="I281" s="613" t="s">
        <v>4662</v>
      </c>
      <c r="J281" s="623">
        <v>37031.64</v>
      </c>
      <c r="K281" s="873">
        <v>58.472900000000003</v>
      </c>
      <c r="L281" s="873">
        <f t="shared" si="18"/>
        <v>633.31286801236126</v>
      </c>
      <c r="M281" s="612">
        <v>60</v>
      </c>
      <c r="N281" s="615">
        <f t="shared" si="19"/>
        <v>617.19399999999996</v>
      </c>
      <c r="O281" s="616">
        <f t="shared" ca="1" si="17"/>
        <v>17</v>
      </c>
      <c r="P281" s="873">
        <f t="shared" ca="1" si="20"/>
        <v>26539.342000000001</v>
      </c>
      <c r="Q281" s="613" t="s">
        <v>4929</v>
      </c>
    </row>
    <row r="282" spans="2:17" ht="30" x14ac:dyDescent="0.25">
      <c r="B282" s="611">
        <v>45337</v>
      </c>
      <c r="C282" s="611">
        <v>45344</v>
      </c>
      <c r="D282" s="612" t="s">
        <v>4931</v>
      </c>
      <c r="E282" s="613" t="s">
        <v>5801</v>
      </c>
      <c r="F282" s="613" t="s">
        <v>4938</v>
      </c>
      <c r="G282" s="678" t="s">
        <v>18</v>
      </c>
      <c r="H282" s="613" t="s">
        <v>4930</v>
      </c>
      <c r="I282" s="613" t="s">
        <v>4662</v>
      </c>
      <c r="J282" s="623">
        <v>37031.64</v>
      </c>
      <c r="K282" s="873">
        <v>58.472900000000003</v>
      </c>
      <c r="L282" s="873">
        <f t="shared" si="18"/>
        <v>633.31286801236126</v>
      </c>
      <c r="M282" s="612">
        <v>60</v>
      </c>
      <c r="N282" s="615">
        <f t="shared" si="19"/>
        <v>617.19399999999996</v>
      </c>
      <c r="O282" s="616">
        <f t="shared" ca="1" si="17"/>
        <v>17</v>
      </c>
      <c r="P282" s="873">
        <f t="shared" ca="1" si="20"/>
        <v>26539.342000000001</v>
      </c>
      <c r="Q282" s="613" t="s">
        <v>4929</v>
      </c>
    </row>
    <row r="283" spans="2:17" ht="30" x14ac:dyDescent="0.25">
      <c r="B283" s="611">
        <v>45337</v>
      </c>
      <c r="C283" s="611">
        <v>45344</v>
      </c>
      <c r="D283" s="612" t="s">
        <v>4931</v>
      </c>
      <c r="E283" s="613" t="s">
        <v>5802</v>
      </c>
      <c r="F283" s="613" t="s">
        <v>4938</v>
      </c>
      <c r="G283" s="678" t="s">
        <v>18</v>
      </c>
      <c r="H283" s="613" t="s">
        <v>4930</v>
      </c>
      <c r="I283" s="613" t="s">
        <v>4662</v>
      </c>
      <c r="J283" s="623">
        <v>37031.64</v>
      </c>
      <c r="K283" s="873">
        <v>58.472900000000003</v>
      </c>
      <c r="L283" s="873">
        <f t="shared" si="18"/>
        <v>633.31286801236126</v>
      </c>
      <c r="M283" s="612">
        <v>60</v>
      </c>
      <c r="N283" s="615">
        <f t="shared" si="19"/>
        <v>617.19399999999996</v>
      </c>
      <c r="O283" s="616">
        <f t="shared" ca="1" si="17"/>
        <v>17</v>
      </c>
      <c r="P283" s="873">
        <f t="shared" ca="1" si="20"/>
        <v>26539.342000000001</v>
      </c>
      <c r="Q283" s="613" t="s">
        <v>4929</v>
      </c>
    </row>
    <row r="284" spans="2:17" ht="30" x14ac:dyDescent="0.25">
      <c r="B284" s="611">
        <v>45337</v>
      </c>
      <c r="C284" s="611">
        <v>45344</v>
      </c>
      <c r="D284" s="612" t="s">
        <v>4931</v>
      </c>
      <c r="E284" s="613" t="s">
        <v>5803</v>
      </c>
      <c r="F284" s="613" t="s">
        <v>4938</v>
      </c>
      <c r="G284" s="678" t="s">
        <v>18</v>
      </c>
      <c r="H284" s="613" t="s">
        <v>4930</v>
      </c>
      <c r="I284" s="613" t="s">
        <v>4662</v>
      </c>
      <c r="J284" s="623">
        <v>37031.64</v>
      </c>
      <c r="K284" s="873">
        <v>58.472900000000003</v>
      </c>
      <c r="L284" s="873">
        <f t="shared" si="18"/>
        <v>633.31286801236126</v>
      </c>
      <c r="M284" s="612">
        <v>60</v>
      </c>
      <c r="N284" s="615">
        <f t="shared" si="19"/>
        <v>617.19399999999996</v>
      </c>
      <c r="O284" s="616">
        <f t="shared" ca="1" si="17"/>
        <v>17</v>
      </c>
      <c r="P284" s="873">
        <f t="shared" ca="1" si="20"/>
        <v>26539.342000000001</v>
      </c>
      <c r="Q284" s="613" t="s">
        <v>4929</v>
      </c>
    </row>
    <row r="285" spans="2:17" ht="30" x14ac:dyDescent="0.25">
      <c r="B285" s="611">
        <v>45337</v>
      </c>
      <c r="C285" s="611">
        <v>45344</v>
      </c>
      <c r="D285" s="612" t="s">
        <v>4931</v>
      </c>
      <c r="E285" s="613" t="s">
        <v>5804</v>
      </c>
      <c r="F285" s="613" t="s">
        <v>4938</v>
      </c>
      <c r="G285" s="678" t="s">
        <v>18</v>
      </c>
      <c r="H285" s="613" t="s">
        <v>4930</v>
      </c>
      <c r="I285" s="613" t="s">
        <v>4662</v>
      </c>
      <c r="J285" s="623">
        <v>37031.64</v>
      </c>
      <c r="K285" s="873">
        <v>58.472900000000003</v>
      </c>
      <c r="L285" s="873">
        <f t="shared" si="18"/>
        <v>633.31286801236126</v>
      </c>
      <c r="M285" s="612">
        <v>60</v>
      </c>
      <c r="N285" s="615">
        <f t="shared" si="19"/>
        <v>617.19399999999996</v>
      </c>
      <c r="O285" s="616">
        <f t="shared" ca="1" si="17"/>
        <v>17</v>
      </c>
      <c r="P285" s="873">
        <f t="shared" ca="1" si="20"/>
        <v>26539.342000000001</v>
      </c>
      <c r="Q285" s="613" t="s">
        <v>4929</v>
      </c>
    </row>
    <row r="286" spans="2:17" ht="30" x14ac:dyDescent="0.25">
      <c r="B286" s="611">
        <v>45337</v>
      </c>
      <c r="C286" s="611">
        <v>45344</v>
      </c>
      <c r="D286" s="612" t="s">
        <v>4931</v>
      </c>
      <c r="E286" s="613" t="s">
        <v>5805</v>
      </c>
      <c r="F286" s="613" t="s">
        <v>4938</v>
      </c>
      <c r="G286" s="678" t="s">
        <v>18</v>
      </c>
      <c r="H286" s="613" t="s">
        <v>4930</v>
      </c>
      <c r="I286" s="613" t="s">
        <v>4662</v>
      </c>
      <c r="J286" s="623">
        <v>37031.64</v>
      </c>
      <c r="K286" s="873">
        <v>58.472900000000003</v>
      </c>
      <c r="L286" s="873">
        <f t="shared" si="18"/>
        <v>633.31286801236126</v>
      </c>
      <c r="M286" s="612">
        <v>60</v>
      </c>
      <c r="N286" s="615">
        <f t="shared" si="19"/>
        <v>617.19399999999996</v>
      </c>
      <c r="O286" s="616">
        <f t="shared" ca="1" si="17"/>
        <v>17</v>
      </c>
      <c r="P286" s="873">
        <f ca="1">IF(OR(J286=0,M286=0,O286=0),0,J286-(N286*O286))</f>
        <v>26539.342000000001</v>
      </c>
      <c r="Q286" s="613" t="s">
        <v>4929</v>
      </c>
    </row>
    <row r="287" spans="2:17" ht="90" x14ac:dyDescent="0.25">
      <c r="B287" s="611">
        <v>44990</v>
      </c>
      <c r="C287" s="611">
        <v>45366</v>
      </c>
      <c r="D287" s="612" t="s">
        <v>4955</v>
      </c>
      <c r="E287" s="632" t="s">
        <v>6873</v>
      </c>
      <c r="F287" s="613" t="s">
        <v>6992</v>
      </c>
      <c r="G287" s="678" t="s">
        <v>4956</v>
      </c>
      <c r="H287" s="613" t="s">
        <v>6019</v>
      </c>
      <c r="I287" s="613" t="s">
        <v>4569</v>
      </c>
      <c r="J287" s="623">
        <v>28473.4</v>
      </c>
      <c r="K287" s="873">
        <v>58.917499999999997</v>
      </c>
      <c r="L287" s="873">
        <f t="shared" si="18"/>
        <v>483.27576696227783</v>
      </c>
      <c r="M287" s="612">
        <v>60</v>
      </c>
      <c r="N287" s="615">
        <f t="shared" si="19"/>
        <v>474.55666666666667</v>
      </c>
      <c r="O287" s="616">
        <f t="shared" ca="1" si="17"/>
        <v>29</v>
      </c>
      <c r="P287" s="873">
        <f ca="1">IF(OR(J287=0,M287=0,O287=0),0,J287-(N287*O287))</f>
        <v>14711.256666666668</v>
      </c>
      <c r="Q287" s="613" t="s">
        <v>4957</v>
      </c>
    </row>
    <row r="288" spans="2:17" ht="45" x14ac:dyDescent="0.25">
      <c r="B288" s="611">
        <v>45358</v>
      </c>
      <c r="C288" s="611">
        <v>45366</v>
      </c>
      <c r="D288" s="612" t="s">
        <v>4942</v>
      </c>
      <c r="E288" s="613" t="s">
        <v>28</v>
      </c>
      <c r="F288" s="613" t="s">
        <v>4943</v>
      </c>
      <c r="G288" s="678" t="s">
        <v>18</v>
      </c>
      <c r="H288" s="613" t="s">
        <v>4930</v>
      </c>
      <c r="I288" s="613" t="s">
        <v>4662</v>
      </c>
      <c r="J288" s="623">
        <v>31369.33</v>
      </c>
      <c r="K288" s="873">
        <v>58.917499999999997</v>
      </c>
      <c r="L288" s="873">
        <f t="shared" si="18"/>
        <v>532.42805618025216</v>
      </c>
      <c r="M288" s="612">
        <v>60</v>
      </c>
      <c r="N288" s="615">
        <f t="shared" si="19"/>
        <v>522.8221666666667</v>
      </c>
      <c r="O288" s="616">
        <f t="shared" ca="1" si="17"/>
        <v>16</v>
      </c>
      <c r="P288" s="873">
        <f ca="1">IF(OR(J288=0,M288=0,O288=0),0,J288-(N288*O288))</f>
        <v>23004.175333333333</v>
      </c>
      <c r="Q288" s="613" t="s">
        <v>4946</v>
      </c>
    </row>
    <row r="289" spans="2:17" ht="45" x14ac:dyDescent="0.25">
      <c r="B289" s="611">
        <v>45358</v>
      </c>
      <c r="C289" s="611">
        <v>45366</v>
      </c>
      <c r="D289" s="612" t="s">
        <v>4942</v>
      </c>
      <c r="E289" s="613" t="s">
        <v>28</v>
      </c>
      <c r="F289" s="613" t="s">
        <v>4945</v>
      </c>
      <c r="G289" s="678" t="s">
        <v>18</v>
      </c>
      <c r="H289" s="613" t="s">
        <v>4930</v>
      </c>
      <c r="I289" s="613" t="s">
        <v>4662</v>
      </c>
      <c r="J289" s="623">
        <v>15870.31</v>
      </c>
      <c r="K289" s="873">
        <v>58.917499999999997</v>
      </c>
      <c r="L289" s="873">
        <f t="shared" si="18"/>
        <v>269.36495947723512</v>
      </c>
      <c r="M289" s="612">
        <v>60</v>
      </c>
      <c r="N289" s="615">
        <f t="shared" si="19"/>
        <v>264.50516666666664</v>
      </c>
      <c r="O289" s="616">
        <f t="shared" ca="1" si="17"/>
        <v>16</v>
      </c>
      <c r="P289" s="873">
        <f ca="1">IF(OR(J289=0,M289=0,O289=0),0,J289-(N289*O289))</f>
        <v>11638.227333333332</v>
      </c>
      <c r="Q289" s="613" t="s">
        <v>4946</v>
      </c>
    </row>
    <row r="290" spans="2:17" ht="45" x14ac:dyDescent="0.25">
      <c r="B290" s="611">
        <v>45358</v>
      </c>
      <c r="C290" s="611">
        <v>45366</v>
      </c>
      <c r="D290" s="612" t="s">
        <v>4942</v>
      </c>
      <c r="E290" s="613" t="s">
        <v>28</v>
      </c>
      <c r="F290" s="613" t="s">
        <v>4947</v>
      </c>
      <c r="G290" s="678" t="s">
        <v>18</v>
      </c>
      <c r="H290" s="613" t="s">
        <v>4930</v>
      </c>
      <c r="I290" s="613" t="s">
        <v>4662</v>
      </c>
      <c r="J290" s="623">
        <v>27937.17</v>
      </c>
      <c r="K290" s="873">
        <v>58.917499999999997</v>
      </c>
      <c r="L290" s="873">
        <f t="shared" si="18"/>
        <v>474.1743964017482</v>
      </c>
      <c r="M290" s="612">
        <v>60</v>
      </c>
      <c r="N290" s="615">
        <f t="shared" si="19"/>
        <v>465.61949999999996</v>
      </c>
      <c r="O290" s="616">
        <f t="shared" ca="1" si="17"/>
        <v>16</v>
      </c>
      <c r="P290" s="873">
        <f t="shared" ref="P290:P366" ca="1" si="21">IF(OR(J290=0,M290=0,O290=0),0,J290-(N290*O290))</f>
        <v>20487.257999999998</v>
      </c>
      <c r="Q290" s="613" t="s">
        <v>4946</v>
      </c>
    </row>
    <row r="291" spans="2:17" ht="45" x14ac:dyDescent="0.25">
      <c r="B291" s="611">
        <v>45358</v>
      </c>
      <c r="C291" s="611">
        <v>45366</v>
      </c>
      <c r="D291" s="612" t="s">
        <v>4942</v>
      </c>
      <c r="E291" s="613" t="s">
        <v>28</v>
      </c>
      <c r="F291" s="613" t="s">
        <v>4948</v>
      </c>
      <c r="G291" s="678" t="s">
        <v>18</v>
      </c>
      <c r="H291" s="613" t="s">
        <v>4930</v>
      </c>
      <c r="I291" s="613" t="s">
        <v>4662</v>
      </c>
      <c r="J291" s="623">
        <v>16284.73</v>
      </c>
      <c r="K291" s="873">
        <v>58.917499999999997</v>
      </c>
      <c r="L291" s="873">
        <f t="shared" si="18"/>
        <v>276.39886281665042</v>
      </c>
      <c r="M291" s="612">
        <v>60</v>
      </c>
      <c r="N291" s="615">
        <f t="shared" si="19"/>
        <v>271.41216666666668</v>
      </c>
      <c r="O291" s="616">
        <f t="shared" ca="1" si="17"/>
        <v>16</v>
      </c>
      <c r="P291" s="873">
        <f t="shared" ca="1" si="21"/>
        <v>11942.135333333332</v>
      </c>
      <c r="Q291" s="613" t="s">
        <v>4946</v>
      </c>
    </row>
    <row r="292" spans="2:17" ht="45" x14ac:dyDescent="0.25">
      <c r="B292" s="611">
        <v>45358</v>
      </c>
      <c r="C292" s="611">
        <v>45366</v>
      </c>
      <c r="D292" s="612" t="s">
        <v>4942</v>
      </c>
      <c r="E292" s="613" t="s">
        <v>28</v>
      </c>
      <c r="F292" s="613" t="s">
        <v>4949</v>
      </c>
      <c r="G292" s="678" t="s">
        <v>18</v>
      </c>
      <c r="H292" s="613" t="s">
        <v>4930</v>
      </c>
      <c r="I292" s="613" t="s">
        <v>4662</v>
      </c>
      <c r="J292" s="623">
        <v>16468.54</v>
      </c>
      <c r="K292" s="873">
        <v>58.917499999999997</v>
      </c>
      <c r="L292" s="873">
        <f t="shared" si="18"/>
        <v>279.51864895828919</v>
      </c>
      <c r="M292" s="612">
        <v>60</v>
      </c>
      <c r="N292" s="615">
        <f t="shared" si="19"/>
        <v>274.47566666666665</v>
      </c>
      <c r="O292" s="616">
        <f t="shared" ca="1" si="17"/>
        <v>16</v>
      </c>
      <c r="P292" s="873">
        <f t="shared" ca="1" si="21"/>
        <v>12076.929333333333</v>
      </c>
      <c r="Q292" s="613" t="s">
        <v>4946</v>
      </c>
    </row>
    <row r="293" spans="2:17" ht="45" x14ac:dyDescent="0.25">
      <c r="B293" s="611">
        <v>45358</v>
      </c>
      <c r="C293" s="611">
        <v>45366</v>
      </c>
      <c r="D293" s="612" t="s">
        <v>4942</v>
      </c>
      <c r="E293" s="613" t="s">
        <v>28</v>
      </c>
      <c r="F293" s="613" t="s">
        <v>4950</v>
      </c>
      <c r="G293" s="678" t="s">
        <v>18</v>
      </c>
      <c r="H293" s="613" t="s">
        <v>4930</v>
      </c>
      <c r="I293" s="613" t="s">
        <v>4662</v>
      </c>
      <c r="J293" s="623">
        <v>16100.9</v>
      </c>
      <c r="K293" s="873">
        <v>58.917499999999997</v>
      </c>
      <c r="L293" s="873">
        <f t="shared" si="18"/>
        <v>273.27873721729537</v>
      </c>
      <c r="M293" s="612">
        <v>60</v>
      </c>
      <c r="N293" s="615">
        <f t="shared" si="19"/>
        <v>268.3483333333333</v>
      </c>
      <c r="O293" s="616">
        <f t="shared" ca="1" si="17"/>
        <v>16</v>
      </c>
      <c r="P293" s="873">
        <f t="shared" ca="1" si="21"/>
        <v>11807.326666666668</v>
      </c>
      <c r="Q293" s="613" t="s">
        <v>4946</v>
      </c>
    </row>
    <row r="294" spans="2:17" ht="30" x14ac:dyDescent="0.25">
      <c r="B294" s="611">
        <v>45352</v>
      </c>
      <c r="C294" s="611">
        <v>45355</v>
      </c>
      <c r="D294" s="612" t="s">
        <v>4944</v>
      </c>
      <c r="E294" s="613" t="s">
        <v>28</v>
      </c>
      <c r="F294" s="613" t="s">
        <v>4951</v>
      </c>
      <c r="G294" s="678" t="s">
        <v>18</v>
      </c>
      <c r="H294" s="613" t="s">
        <v>4930</v>
      </c>
      <c r="I294" s="613" t="s">
        <v>4662</v>
      </c>
      <c r="J294" s="623">
        <v>684313.55</v>
      </c>
      <c r="K294" s="873">
        <v>57.826500000000003</v>
      </c>
      <c r="L294" s="873">
        <f t="shared" si="18"/>
        <v>11833.909193881698</v>
      </c>
      <c r="M294" s="612">
        <v>60</v>
      </c>
      <c r="N294" s="615">
        <f t="shared" si="19"/>
        <v>11405.225833333334</v>
      </c>
      <c r="O294" s="616">
        <f t="shared" ca="1" si="17"/>
        <v>17</v>
      </c>
      <c r="P294" s="873">
        <f t="shared" ca="1" si="21"/>
        <v>490424.71083333337</v>
      </c>
      <c r="Q294" s="613" t="s">
        <v>4952</v>
      </c>
    </row>
    <row r="295" spans="2:17" ht="75" x14ac:dyDescent="0.25">
      <c r="B295" s="611">
        <v>45352</v>
      </c>
      <c r="C295" s="611">
        <v>45355</v>
      </c>
      <c r="D295" s="612" t="s">
        <v>4944</v>
      </c>
      <c r="E295" s="613" t="s">
        <v>28</v>
      </c>
      <c r="F295" s="613" t="s">
        <v>5793</v>
      </c>
      <c r="G295" s="678" t="s">
        <v>18</v>
      </c>
      <c r="H295" s="613" t="s">
        <v>2411</v>
      </c>
      <c r="I295" s="613" t="s">
        <v>4662</v>
      </c>
      <c r="J295" s="623">
        <v>80910.080000000002</v>
      </c>
      <c r="K295" s="873">
        <v>57.826500000000003</v>
      </c>
      <c r="L295" s="873">
        <f t="shared" si="18"/>
        <v>1399.1868779884655</v>
      </c>
      <c r="M295" s="612">
        <v>60</v>
      </c>
      <c r="N295" s="615">
        <f t="shared" si="19"/>
        <v>1348.5013333333334</v>
      </c>
      <c r="O295" s="616">
        <f ca="1">IF(C294&lt;&gt;0,(ROUND((NOW()-C294)/30,0)),0)</f>
        <v>16</v>
      </c>
      <c r="P295" s="873">
        <f t="shared" ca="1" si="21"/>
        <v>59334.058666666664</v>
      </c>
      <c r="Q295" s="613" t="s">
        <v>4952</v>
      </c>
    </row>
    <row r="296" spans="2:17" ht="45" x14ac:dyDescent="0.25">
      <c r="B296" s="611">
        <v>45359</v>
      </c>
      <c r="C296" s="611">
        <v>45386</v>
      </c>
      <c r="D296" s="612" t="s">
        <v>4966</v>
      </c>
      <c r="E296" s="613" t="s">
        <v>5806</v>
      </c>
      <c r="F296" s="613" t="s">
        <v>4967</v>
      </c>
      <c r="G296" s="678" t="s">
        <v>5832</v>
      </c>
      <c r="H296" s="613" t="s">
        <v>4930</v>
      </c>
      <c r="I296" s="613" t="s">
        <v>4662</v>
      </c>
      <c r="J296" s="623">
        <v>403601.46</v>
      </c>
      <c r="K296" s="873">
        <v>57.82</v>
      </c>
      <c r="L296" s="873">
        <f t="shared" si="18"/>
        <v>6980.3088896575582</v>
      </c>
      <c r="M296" s="612">
        <v>60</v>
      </c>
      <c r="N296" s="615">
        <f t="shared" si="19"/>
        <v>6726.6910000000007</v>
      </c>
      <c r="O296" s="616">
        <f t="shared" ca="1" si="17"/>
        <v>16</v>
      </c>
      <c r="P296" s="873">
        <f t="shared" ca="1" si="21"/>
        <v>295974.40399999998</v>
      </c>
      <c r="Q296" s="613" t="s">
        <v>4972</v>
      </c>
    </row>
    <row r="297" spans="2:17" ht="45" x14ac:dyDescent="0.25">
      <c r="B297" s="611">
        <v>45359</v>
      </c>
      <c r="C297" s="611">
        <v>45386</v>
      </c>
      <c r="D297" s="612" t="s">
        <v>4966</v>
      </c>
      <c r="E297" s="613" t="s">
        <v>5807</v>
      </c>
      <c r="F297" s="613" t="s">
        <v>4967</v>
      </c>
      <c r="G297" s="678" t="s">
        <v>5833</v>
      </c>
      <c r="H297" s="613" t="s">
        <v>4930</v>
      </c>
      <c r="I297" s="613" t="s">
        <v>4662</v>
      </c>
      <c r="J297" s="623">
        <v>403601.46</v>
      </c>
      <c r="K297" s="873">
        <v>57.82</v>
      </c>
      <c r="L297" s="873">
        <f t="shared" si="18"/>
        <v>6980.3088896575582</v>
      </c>
      <c r="M297" s="612">
        <v>60</v>
      </c>
      <c r="N297" s="615">
        <f t="shared" si="19"/>
        <v>6726.6910000000007</v>
      </c>
      <c r="O297" s="616">
        <f t="shared" ca="1" si="17"/>
        <v>16</v>
      </c>
      <c r="P297" s="873">
        <f t="shared" ca="1" si="21"/>
        <v>295974.40399999998</v>
      </c>
      <c r="Q297" s="613" t="s">
        <v>4972</v>
      </c>
    </row>
    <row r="298" spans="2:17" ht="60" x14ac:dyDescent="0.25">
      <c r="B298" s="611">
        <v>45359</v>
      </c>
      <c r="C298" s="611">
        <v>45386</v>
      </c>
      <c r="D298" s="612" t="s">
        <v>4966</v>
      </c>
      <c r="E298" s="613" t="s">
        <v>6874</v>
      </c>
      <c r="F298" s="613" t="s">
        <v>4968</v>
      </c>
      <c r="G298" s="678" t="s">
        <v>18</v>
      </c>
      <c r="H298" s="613" t="s">
        <v>4930</v>
      </c>
      <c r="I298" s="613" t="s">
        <v>4662</v>
      </c>
      <c r="J298" s="623">
        <v>11449.7</v>
      </c>
      <c r="K298" s="873">
        <v>57.82</v>
      </c>
      <c r="L298" s="873">
        <f t="shared" si="18"/>
        <v>198.02317537184368</v>
      </c>
      <c r="M298" s="612">
        <v>60</v>
      </c>
      <c r="N298" s="615">
        <f t="shared" si="19"/>
        <v>190.82833333333335</v>
      </c>
      <c r="O298" s="616">
        <f t="shared" ca="1" si="17"/>
        <v>16</v>
      </c>
      <c r="P298" s="873">
        <f t="shared" ca="1" si="21"/>
        <v>8396.4466666666667</v>
      </c>
      <c r="Q298" s="613" t="s">
        <v>4972</v>
      </c>
    </row>
    <row r="299" spans="2:17" ht="60" x14ac:dyDescent="0.25">
      <c r="B299" s="611">
        <v>45359</v>
      </c>
      <c r="C299" s="611">
        <v>45386</v>
      </c>
      <c r="D299" s="612" t="s">
        <v>4966</v>
      </c>
      <c r="E299" s="613" t="s">
        <v>6875</v>
      </c>
      <c r="F299" s="613" t="s">
        <v>4968</v>
      </c>
      <c r="G299" s="678" t="s">
        <v>18</v>
      </c>
      <c r="H299" s="613" t="s">
        <v>4930</v>
      </c>
      <c r="I299" s="613" t="s">
        <v>4662</v>
      </c>
      <c r="J299" s="623">
        <v>11449.7</v>
      </c>
      <c r="K299" s="873">
        <v>57.82</v>
      </c>
      <c r="L299" s="873">
        <f t="shared" si="18"/>
        <v>198.02317537184368</v>
      </c>
      <c r="M299" s="612">
        <v>60</v>
      </c>
      <c r="N299" s="615">
        <f t="shared" si="19"/>
        <v>190.82833333333335</v>
      </c>
      <c r="O299" s="616">
        <f t="shared" ca="1" si="17"/>
        <v>16</v>
      </c>
      <c r="P299" s="873">
        <f t="shared" ca="1" si="21"/>
        <v>8396.4466666666667</v>
      </c>
      <c r="Q299" s="613" t="s">
        <v>4972</v>
      </c>
    </row>
    <row r="300" spans="2:17" ht="60" x14ac:dyDescent="0.25">
      <c r="B300" s="611">
        <v>45359</v>
      </c>
      <c r="C300" s="611">
        <v>45386</v>
      </c>
      <c r="D300" s="612" t="s">
        <v>4966</v>
      </c>
      <c r="E300" s="613" t="s">
        <v>6876</v>
      </c>
      <c r="F300" s="613" t="s">
        <v>4968</v>
      </c>
      <c r="G300" s="678" t="s">
        <v>18</v>
      </c>
      <c r="H300" s="613" t="s">
        <v>4930</v>
      </c>
      <c r="I300" s="613" t="s">
        <v>4662</v>
      </c>
      <c r="J300" s="623">
        <v>11449.7</v>
      </c>
      <c r="K300" s="873">
        <v>57.82</v>
      </c>
      <c r="L300" s="873">
        <f t="shared" si="18"/>
        <v>198.02317537184368</v>
      </c>
      <c r="M300" s="612">
        <v>60</v>
      </c>
      <c r="N300" s="615">
        <f t="shared" si="19"/>
        <v>190.82833333333335</v>
      </c>
      <c r="O300" s="616">
        <f t="shared" ca="1" si="17"/>
        <v>16</v>
      </c>
      <c r="P300" s="873">
        <f t="shared" ca="1" si="21"/>
        <v>8396.4466666666667</v>
      </c>
      <c r="Q300" s="613" t="s">
        <v>4972</v>
      </c>
    </row>
    <row r="301" spans="2:17" ht="60" x14ac:dyDescent="0.25">
      <c r="B301" s="611">
        <v>45359</v>
      </c>
      <c r="C301" s="611">
        <v>45386</v>
      </c>
      <c r="D301" s="612" t="s">
        <v>4966</v>
      </c>
      <c r="E301" s="613" t="s">
        <v>6877</v>
      </c>
      <c r="F301" s="613" t="s">
        <v>4968</v>
      </c>
      <c r="G301" s="678" t="s">
        <v>18</v>
      </c>
      <c r="H301" s="613" t="s">
        <v>4930</v>
      </c>
      <c r="I301" s="613" t="s">
        <v>4662</v>
      </c>
      <c r="J301" s="623">
        <v>11449.7</v>
      </c>
      <c r="K301" s="873">
        <v>57.82</v>
      </c>
      <c r="L301" s="873">
        <f t="shared" si="18"/>
        <v>198.02317537184368</v>
      </c>
      <c r="M301" s="612">
        <v>60</v>
      </c>
      <c r="N301" s="615">
        <f t="shared" si="19"/>
        <v>190.82833333333335</v>
      </c>
      <c r="O301" s="616">
        <f t="shared" ca="1" si="17"/>
        <v>16</v>
      </c>
      <c r="P301" s="873">
        <f t="shared" ca="1" si="21"/>
        <v>8396.4466666666667</v>
      </c>
      <c r="Q301" s="613" t="s">
        <v>4972</v>
      </c>
    </row>
    <row r="302" spans="2:17" ht="60" x14ac:dyDescent="0.25">
      <c r="B302" s="611">
        <v>45359</v>
      </c>
      <c r="C302" s="611">
        <v>45386</v>
      </c>
      <c r="D302" s="612" t="s">
        <v>4966</v>
      </c>
      <c r="E302" s="613" t="s">
        <v>6878</v>
      </c>
      <c r="F302" s="613" t="s">
        <v>4968</v>
      </c>
      <c r="G302" s="678" t="s">
        <v>18</v>
      </c>
      <c r="H302" s="613" t="s">
        <v>4930</v>
      </c>
      <c r="I302" s="613" t="s">
        <v>4662</v>
      </c>
      <c r="J302" s="623">
        <v>11449.7</v>
      </c>
      <c r="K302" s="873">
        <v>57.82</v>
      </c>
      <c r="L302" s="873">
        <f t="shared" si="18"/>
        <v>198.02317537184368</v>
      </c>
      <c r="M302" s="612">
        <v>60</v>
      </c>
      <c r="N302" s="615">
        <f t="shared" si="19"/>
        <v>190.82833333333335</v>
      </c>
      <c r="O302" s="616">
        <f t="shared" ca="1" si="17"/>
        <v>16</v>
      </c>
      <c r="P302" s="873">
        <f t="shared" ca="1" si="21"/>
        <v>8396.4466666666667</v>
      </c>
      <c r="Q302" s="613" t="s">
        <v>4972</v>
      </c>
    </row>
    <row r="303" spans="2:17" ht="75" x14ac:dyDescent="0.25">
      <c r="B303" s="611">
        <v>45359</v>
      </c>
      <c r="C303" s="611">
        <v>45386</v>
      </c>
      <c r="D303" s="612" t="s">
        <v>4966</v>
      </c>
      <c r="E303" s="613" t="s">
        <v>6879</v>
      </c>
      <c r="F303" s="613" t="s">
        <v>4969</v>
      </c>
      <c r="G303" s="678" t="s">
        <v>18</v>
      </c>
      <c r="H303" s="613" t="s">
        <v>4930</v>
      </c>
      <c r="I303" s="613" t="s">
        <v>4662</v>
      </c>
      <c r="J303" s="623">
        <v>77857.88</v>
      </c>
      <c r="K303" s="873">
        <v>57.82</v>
      </c>
      <c r="L303" s="873">
        <f t="shared" si="18"/>
        <v>1346.5562089242478</v>
      </c>
      <c r="M303" s="612">
        <v>60</v>
      </c>
      <c r="N303" s="615">
        <f t="shared" si="19"/>
        <v>1297.6313333333335</v>
      </c>
      <c r="O303" s="616">
        <f t="shared" ca="1" si="17"/>
        <v>16</v>
      </c>
      <c r="P303" s="873">
        <f t="shared" ca="1" si="21"/>
        <v>57095.778666666665</v>
      </c>
      <c r="Q303" s="613" t="s">
        <v>4972</v>
      </c>
    </row>
    <row r="304" spans="2:17" ht="105" x14ac:dyDescent="0.25">
      <c r="B304" s="611">
        <v>45359</v>
      </c>
      <c r="C304" s="611">
        <v>45386</v>
      </c>
      <c r="D304" s="612" t="s">
        <v>4966</v>
      </c>
      <c r="E304" s="613" t="s">
        <v>28</v>
      </c>
      <c r="F304" s="613" t="s">
        <v>4970</v>
      </c>
      <c r="G304" s="678" t="s">
        <v>18</v>
      </c>
      <c r="H304" s="613" t="s">
        <v>4930</v>
      </c>
      <c r="I304" s="613" t="s">
        <v>4662</v>
      </c>
      <c r="J304" s="623">
        <v>146556</v>
      </c>
      <c r="K304" s="873">
        <v>57.82</v>
      </c>
      <c r="L304" s="873">
        <f t="shared" si="18"/>
        <v>2534.6938775510203</v>
      </c>
      <c r="M304" s="612">
        <v>60</v>
      </c>
      <c r="N304" s="615">
        <f t="shared" si="19"/>
        <v>2442.6</v>
      </c>
      <c r="O304" s="616">
        <f t="shared" ca="1" si="17"/>
        <v>16</v>
      </c>
      <c r="P304" s="873">
        <f t="shared" ca="1" si="21"/>
        <v>107474.4</v>
      </c>
      <c r="Q304" s="613" t="s">
        <v>4972</v>
      </c>
    </row>
    <row r="305" spans="2:17" ht="75" x14ac:dyDescent="0.25">
      <c r="B305" s="611">
        <v>45359</v>
      </c>
      <c r="C305" s="611">
        <v>45386</v>
      </c>
      <c r="D305" s="612" t="s">
        <v>4966</v>
      </c>
      <c r="E305" s="613" t="s">
        <v>5831</v>
      </c>
      <c r="F305" s="613" t="s">
        <v>5830</v>
      </c>
      <c r="G305" s="678" t="s">
        <v>5834</v>
      </c>
      <c r="H305" s="613" t="s">
        <v>4930</v>
      </c>
      <c r="I305" s="613" t="s">
        <v>4662</v>
      </c>
      <c r="J305" s="623">
        <v>71446.05</v>
      </c>
      <c r="K305" s="873">
        <v>57.82</v>
      </c>
      <c r="L305" s="873">
        <f t="shared" si="18"/>
        <v>1235.6632653061224</v>
      </c>
      <c r="M305" s="612">
        <v>60</v>
      </c>
      <c r="N305" s="615">
        <f t="shared" si="19"/>
        <v>1190.7675000000002</v>
      </c>
      <c r="O305" s="616">
        <f t="shared" ca="1" si="17"/>
        <v>16</v>
      </c>
      <c r="P305" s="873">
        <f t="shared" ca="1" si="21"/>
        <v>52393.770000000004</v>
      </c>
      <c r="Q305" s="613" t="s">
        <v>4972</v>
      </c>
    </row>
    <row r="306" spans="2:17" ht="90" x14ac:dyDescent="0.25">
      <c r="B306" s="611">
        <v>45359</v>
      </c>
      <c r="C306" s="611">
        <v>45386</v>
      </c>
      <c r="D306" s="612" t="s">
        <v>4966</v>
      </c>
      <c r="E306" s="613" t="s">
        <v>28</v>
      </c>
      <c r="F306" s="613" t="s">
        <v>4971</v>
      </c>
      <c r="G306" s="678" t="s">
        <v>18</v>
      </c>
      <c r="H306" s="613" t="s">
        <v>4930</v>
      </c>
      <c r="I306" s="613" t="s">
        <v>4662</v>
      </c>
      <c r="J306" s="623">
        <v>343490.64</v>
      </c>
      <c r="K306" s="873">
        <v>57.82</v>
      </c>
      <c r="L306" s="873">
        <f t="shared" si="18"/>
        <v>5940.6890349360083</v>
      </c>
      <c r="M306" s="612">
        <v>60</v>
      </c>
      <c r="N306" s="615">
        <f t="shared" si="19"/>
        <v>5724.8440000000001</v>
      </c>
      <c r="O306" s="616">
        <f t="shared" ca="1" si="17"/>
        <v>16</v>
      </c>
      <c r="P306" s="873">
        <f t="shared" ca="1" si="21"/>
        <v>251893.136</v>
      </c>
      <c r="Q306" s="613" t="s">
        <v>4972</v>
      </c>
    </row>
    <row r="307" spans="2:17" ht="30" x14ac:dyDescent="0.25">
      <c r="B307" s="611">
        <v>45359</v>
      </c>
      <c r="C307" s="611">
        <v>45386</v>
      </c>
      <c r="D307" s="612" t="s">
        <v>4966</v>
      </c>
      <c r="E307" s="613" t="s">
        <v>28</v>
      </c>
      <c r="F307" s="613" t="s">
        <v>4977</v>
      </c>
      <c r="G307" s="678" t="s">
        <v>18</v>
      </c>
      <c r="H307" s="613" t="s">
        <v>4930</v>
      </c>
      <c r="I307" s="613" t="s">
        <v>4662</v>
      </c>
      <c r="J307" s="623">
        <v>85872.66</v>
      </c>
      <c r="K307" s="873">
        <v>57.82</v>
      </c>
      <c r="L307" s="873">
        <f t="shared" si="18"/>
        <v>1485.1722587340021</v>
      </c>
      <c r="M307" s="612">
        <v>60</v>
      </c>
      <c r="N307" s="615">
        <f t="shared" si="19"/>
        <v>1431.211</v>
      </c>
      <c r="O307" s="616">
        <f t="shared" ca="1" si="17"/>
        <v>16</v>
      </c>
      <c r="P307" s="873">
        <f t="shared" ca="1" si="21"/>
        <v>62973.284</v>
      </c>
      <c r="Q307" s="613" t="s">
        <v>4972</v>
      </c>
    </row>
    <row r="308" spans="2:17" ht="96.75" customHeight="1" x14ac:dyDescent="0.25">
      <c r="B308" s="611">
        <v>45378</v>
      </c>
      <c r="C308" s="611">
        <v>45511</v>
      </c>
      <c r="D308" s="612" t="s">
        <v>2349</v>
      </c>
      <c r="E308" s="613" t="s">
        <v>28</v>
      </c>
      <c r="F308" s="613" t="s">
        <v>6959</v>
      </c>
      <c r="G308" s="678" t="s">
        <v>18</v>
      </c>
      <c r="H308" s="613" t="s">
        <v>6019</v>
      </c>
      <c r="I308" s="895" t="s">
        <v>4569</v>
      </c>
      <c r="J308" s="623">
        <v>2500443.91</v>
      </c>
      <c r="K308" s="873">
        <v>58.9846</v>
      </c>
      <c r="L308" s="873">
        <f t="shared" si="18"/>
        <v>42391.470146445005</v>
      </c>
      <c r="M308" s="612">
        <v>60</v>
      </c>
      <c r="N308" s="615">
        <f t="shared" si="19"/>
        <v>41674.065166666667</v>
      </c>
      <c r="O308" s="616">
        <f t="shared" ca="1" si="17"/>
        <v>16</v>
      </c>
      <c r="P308" s="873">
        <f t="shared" ca="1" si="21"/>
        <v>1833658.8673333335</v>
      </c>
      <c r="Q308" s="613" t="s">
        <v>6960</v>
      </c>
    </row>
    <row r="309" spans="2:17" ht="45" x14ac:dyDescent="0.25">
      <c r="B309" s="611">
        <v>45378</v>
      </c>
      <c r="C309" s="611">
        <v>45512</v>
      </c>
      <c r="D309" s="612" t="s">
        <v>2349</v>
      </c>
      <c r="E309" s="613" t="s">
        <v>28</v>
      </c>
      <c r="F309" s="613" t="s">
        <v>6961</v>
      </c>
      <c r="G309" s="678" t="s">
        <v>18</v>
      </c>
      <c r="H309" s="613" t="s">
        <v>6019</v>
      </c>
      <c r="I309" s="895" t="s">
        <v>4569</v>
      </c>
      <c r="J309" s="623">
        <v>44472.03</v>
      </c>
      <c r="K309" s="873">
        <v>58.9846</v>
      </c>
      <c r="L309" s="873">
        <f t="shared" si="18"/>
        <v>753.96001668232043</v>
      </c>
      <c r="M309" s="612">
        <v>60</v>
      </c>
      <c r="N309" s="615">
        <f t="shared" si="19"/>
        <v>741.20050000000003</v>
      </c>
      <c r="O309" s="616">
        <f t="shared" ca="1" si="17"/>
        <v>16</v>
      </c>
      <c r="P309" s="873">
        <f t="shared" ca="1" si="21"/>
        <v>32612.822</v>
      </c>
      <c r="Q309" s="613" t="s">
        <v>6960</v>
      </c>
    </row>
    <row r="310" spans="2:17" ht="45" x14ac:dyDescent="0.25">
      <c r="B310" s="611">
        <v>45448</v>
      </c>
      <c r="C310" s="611">
        <v>45520</v>
      </c>
      <c r="D310" s="612" t="s">
        <v>2349</v>
      </c>
      <c r="E310" s="613" t="s">
        <v>28</v>
      </c>
      <c r="F310" s="613" t="s">
        <v>6962</v>
      </c>
      <c r="G310" s="678" t="s">
        <v>18</v>
      </c>
      <c r="H310" s="613" t="s">
        <v>6019</v>
      </c>
      <c r="I310" s="895" t="s">
        <v>4569</v>
      </c>
      <c r="J310" s="623">
        <v>388402.52</v>
      </c>
      <c r="K310" s="873">
        <v>59.595799999999997</v>
      </c>
      <c r="L310" s="873">
        <f t="shared" si="18"/>
        <v>6517.2800767839353</v>
      </c>
      <c r="M310" s="612">
        <v>60</v>
      </c>
      <c r="N310" s="615">
        <f t="shared" si="19"/>
        <v>6473.3753333333334</v>
      </c>
      <c r="O310" s="616">
        <f t="shared" ca="1" si="17"/>
        <v>13</v>
      </c>
      <c r="P310" s="873">
        <f t="shared" ca="1" si="21"/>
        <v>304248.64066666667</v>
      </c>
      <c r="Q310" s="613" t="s">
        <v>6960</v>
      </c>
    </row>
    <row r="311" spans="2:17" ht="45" x14ac:dyDescent="0.25">
      <c r="B311" s="611">
        <v>45448</v>
      </c>
      <c r="C311" s="611">
        <v>45520</v>
      </c>
      <c r="D311" s="612" t="s">
        <v>2349</v>
      </c>
      <c r="E311" s="613" t="s">
        <v>28</v>
      </c>
      <c r="F311" s="613" t="s">
        <v>6962</v>
      </c>
      <c r="G311" s="678" t="s">
        <v>18</v>
      </c>
      <c r="H311" s="613" t="s">
        <v>6019</v>
      </c>
      <c r="I311" s="895" t="s">
        <v>4569</v>
      </c>
      <c r="J311" s="623">
        <v>388402.52</v>
      </c>
      <c r="K311" s="873">
        <v>59.595799999999997</v>
      </c>
      <c r="L311" s="873">
        <f t="shared" si="18"/>
        <v>6517.2800767839353</v>
      </c>
      <c r="M311" s="612">
        <v>60</v>
      </c>
      <c r="N311" s="615">
        <f t="shared" si="19"/>
        <v>6473.3753333333334</v>
      </c>
      <c r="O311" s="616">
        <f t="shared" ca="1" si="17"/>
        <v>13</v>
      </c>
      <c r="P311" s="873">
        <f t="shared" ca="1" si="21"/>
        <v>304248.64066666667</v>
      </c>
      <c r="Q311" s="613" t="s">
        <v>6960</v>
      </c>
    </row>
    <row r="312" spans="2:17" ht="45" x14ac:dyDescent="0.25">
      <c r="B312" s="611">
        <v>45448</v>
      </c>
      <c r="C312" s="611">
        <v>45569</v>
      </c>
      <c r="D312" s="612" t="s">
        <v>2349</v>
      </c>
      <c r="E312" s="613" t="s">
        <v>28</v>
      </c>
      <c r="F312" s="613" t="s">
        <v>6963</v>
      </c>
      <c r="G312" s="678" t="s">
        <v>18</v>
      </c>
      <c r="H312" s="613" t="s">
        <v>6019</v>
      </c>
      <c r="I312" s="895" t="s">
        <v>4569</v>
      </c>
      <c r="J312" s="623">
        <v>87009.87</v>
      </c>
      <c r="K312" s="873">
        <v>59.595799999999997</v>
      </c>
      <c r="L312" s="873">
        <f t="shared" si="18"/>
        <v>1460.0000335594118</v>
      </c>
      <c r="M312" s="612">
        <v>60</v>
      </c>
      <c r="N312" s="615">
        <f t="shared" si="19"/>
        <v>1450.1644999999999</v>
      </c>
      <c r="O312" s="616">
        <f t="shared" ca="1" si="17"/>
        <v>13</v>
      </c>
      <c r="P312" s="873">
        <f t="shared" ca="1" si="21"/>
        <v>68157.731499999994</v>
      </c>
      <c r="Q312" s="613" t="s">
        <v>6960</v>
      </c>
    </row>
    <row r="313" spans="2:17" ht="45" x14ac:dyDescent="0.25">
      <c r="B313" s="611">
        <v>45448</v>
      </c>
      <c r="C313" s="611">
        <v>45569</v>
      </c>
      <c r="D313" s="612" t="s">
        <v>2349</v>
      </c>
      <c r="E313" s="613" t="s">
        <v>28</v>
      </c>
      <c r="F313" s="613" t="s">
        <v>6963</v>
      </c>
      <c r="G313" s="678" t="s">
        <v>18</v>
      </c>
      <c r="H313" s="613" t="s">
        <v>6019</v>
      </c>
      <c r="I313" s="895" t="s">
        <v>4569</v>
      </c>
      <c r="J313" s="623">
        <v>87009.87</v>
      </c>
      <c r="K313" s="873">
        <v>59.595799999999997</v>
      </c>
      <c r="L313" s="873">
        <f t="shared" si="18"/>
        <v>1460.0000335594118</v>
      </c>
      <c r="M313" s="612">
        <v>60</v>
      </c>
      <c r="N313" s="615">
        <f t="shared" si="19"/>
        <v>1450.1644999999999</v>
      </c>
      <c r="O313" s="616">
        <f t="shared" ca="1" si="17"/>
        <v>13</v>
      </c>
      <c r="P313" s="873">
        <f t="shared" ca="1" si="21"/>
        <v>68157.731499999994</v>
      </c>
      <c r="Q313" s="613" t="s">
        <v>6960</v>
      </c>
    </row>
    <row r="314" spans="2:17" ht="45" x14ac:dyDescent="0.25">
      <c r="B314" s="611">
        <v>45448</v>
      </c>
      <c r="C314" s="611">
        <v>45569</v>
      </c>
      <c r="D314" s="612" t="s">
        <v>2349</v>
      </c>
      <c r="E314" s="613" t="s">
        <v>28</v>
      </c>
      <c r="F314" s="613" t="s">
        <v>6964</v>
      </c>
      <c r="G314" s="678" t="s">
        <v>18</v>
      </c>
      <c r="H314" s="613" t="s">
        <v>6019</v>
      </c>
      <c r="I314" s="895" t="s">
        <v>4569</v>
      </c>
      <c r="J314" s="623">
        <v>120502.71</v>
      </c>
      <c r="K314" s="873">
        <v>59.595799999999997</v>
      </c>
      <c r="L314" s="873">
        <f t="shared" si="18"/>
        <v>2022.0000402712944</v>
      </c>
      <c r="M314" s="612">
        <v>60</v>
      </c>
      <c r="N314" s="615">
        <f t="shared" si="19"/>
        <v>2008.3785</v>
      </c>
      <c r="O314" s="616">
        <f t="shared" ca="1" si="17"/>
        <v>13</v>
      </c>
      <c r="P314" s="873">
        <f t="shared" ca="1" si="21"/>
        <v>94393.789500000014</v>
      </c>
      <c r="Q314" s="613" t="s">
        <v>6960</v>
      </c>
    </row>
    <row r="315" spans="2:17" ht="45" x14ac:dyDescent="0.25">
      <c r="B315" s="611">
        <v>45448</v>
      </c>
      <c r="C315" s="611">
        <v>45569</v>
      </c>
      <c r="D315" s="612" t="s">
        <v>2349</v>
      </c>
      <c r="E315" s="613" t="s">
        <v>28</v>
      </c>
      <c r="F315" s="613" t="s">
        <v>6964</v>
      </c>
      <c r="G315" s="678" t="s">
        <v>18</v>
      </c>
      <c r="H315" s="613" t="s">
        <v>6019</v>
      </c>
      <c r="I315" s="895" t="s">
        <v>4569</v>
      </c>
      <c r="J315" s="623">
        <v>120502.71</v>
      </c>
      <c r="K315" s="873">
        <v>59.595799999999997</v>
      </c>
      <c r="L315" s="873">
        <f t="shared" si="18"/>
        <v>2022.0000402712944</v>
      </c>
      <c r="M315" s="612">
        <v>60</v>
      </c>
      <c r="N315" s="615">
        <f t="shared" si="19"/>
        <v>2008.3785</v>
      </c>
      <c r="O315" s="616">
        <f t="shared" ca="1" si="17"/>
        <v>13</v>
      </c>
      <c r="P315" s="873">
        <f t="shared" ca="1" si="21"/>
        <v>94393.789500000014</v>
      </c>
      <c r="Q315" s="613" t="s">
        <v>6960</v>
      </c>
    </row>
    <row r="316" spans="2:17" ht="45" x14ac:dyDescent="0.25">
      <c r="B316" s="611">
        <v>45448</v>
      </c>
      <c r="C316" s="611">
        <v>45569</v>
      </c>
      <c r="D316" s="612" t="s">
        <v>2349</v>
      </c>
      <c r="E316" s="613" t="s">
        <v>28</v>
      </c>
      <c r="F316" s="613" t="s">
        <v>6964</v>
      </c>
      <c r="G316" s="678" t="s">
        <v>18</v>
      </c>
      <c r="H316" s="613" t="s">
        <v>6019</v>
      </c>
      <c r="I316" s="895" t="s">
        <v>4569</v>
      </c>
      <c r="J316" s="623">
        <v>120502.71</v>
      </c>
      <c r="K316" s="873">
        <v>59.595799999999997</v>
      </c>
      <c r="L316" s="873">
        <f t="shared" si="18"/>
        <v>2022.0000402712944</v>
      </c>
      <c r="M316" s="612">
        <v>60</v>
      </c>
      <c r="N316" s="615">
        <f t="shared" si="19"/>
        <v>2008.3785</v>
      </c>
      <c r="O316" s="616">
        <f t="shared" ca="1" si="17"/>
        <v>13</v>
      </c>
      <c r="P316" s="873">
        <f t="shared" ca="1" si="21"/>
        <v>94393.789500000014</v>
      </c>
      <c r="Q316" s="613" t="s">
        <v>6960</v>
      </c>
    </row>
    <row r="317" spans="2:17" ht="60" x14ac:dyDescent="0.25">
      <c r="B317" s="611">
        <v>45448</v>
      </c>
      <c r="C317" s="611">
        <v>45548</v>
      </c>
      <c r="D317" s="612" t="s">
        <v>2349</v>
      </c>
      <c r="E317" s="613" t="s">
        <v>28</v>
      </c>
      <c r="F317" s="613" t="s">
        <v>6965</v>
      </c>
      <c r="G317" s="678" t="s">
        <v>18</v>
      </c>
      <c r="H317" s="613" t="s">
        <v>6019</v>
      </c>
      <c r="I317" s="895" t="s">
        <v>4569</v>
      </c>
      <c r="J317" s="623">
        <v>614373.11</v>
      </c>
      <c r="K317" s="873">
        <v>59.595799999999997</v>
      </c>
      <c r="L317" s="873">
        <f t="shared" si="18"/>
        <v>10309.000130881706</v>
      </c>
      <c r="M317" s="612">
        <v>60</v>
      </c>
      <c r="N317" s="615">
        <f t="shared" si="19"/>
        <v>10239.551833333333</v>
      </c>
      <c r="O317" s="616">
        <f t="shared" ca="1" si="17"/>
        <v>13</v>
      </c>
      <c r="P317" s="873">
        <f t="shared" ca="1" si="21"/>
        <v>481258.93616666668</v>
      </c>
      <c r="Q317" s="613" t="s">
        <v>6960</v>
      </c>
    </row>
    <row r="318" spans="2:17" ht="60" x14ac:dyDescent="0.25">
      <c r="B318" s="611">
        <v>45448</v>
      </c>
      <c r="C318" s="611">
        <v>45548</v>
      </c>
      <c r="D318" s="612" t="s">
        <v>2349</v>
      </c>
      <c r="E318" s="613" t="s">
        <v>28</v>
      </c>
      <c r="F318" s="613" t="s">
        <v>6965</v>
      </c>
      <c r="G318" s="678" t="s">
        <v>18</v>
      </c>
      <c r="H318" s="613" t="s">
        <v>6019</v>
      </c>
      <c r="I318" s="895" t="s">
        <v>4569</v>
      </c>
      <c r="J318" s="623">
        <v>614373.11</v>
      </c>
      <c r="K318" s="873">
        <v>59.595799999999997</v>
      </c>
      <c r="L318" s="873">
        <f t="shared" si="18"/>
        <v>10309.000130881706</v>
      </c>
      <c r="M318" s="612">
        <v>60</v>
      </c>
      <c r="N318" s="615">
        <f t="shared" si="19"/>
        <v>10239.551833333333</v>
      </c>
      <c r="O318" s="616">
        <f t="shared" ca="1" si="17"/>
        <v>13</v>
      </c>
      <c r="P318" s="873">
        <f t="shared" ca="1" si="21"/>
        <v>481258.93616666668</v>
      </c>
      <c r="Q318" s="613" t="s">
        <v>6960</v>
      </c>
    </row>
    <row r="319" spans="2:17" ht="60" x14ac:dyDescent="0.25">
      <c r="B319" s="611">
        <v>45448</v>
      </c>
      <c r="C319" s="611">
        <v>45548</v>
      </c>
      <c r="D319" s="612" t="s">
        <v>2349</v>
      </c>
      <c r="E319" s="613" t="s">
        <v>28</v>
      </c>
      <c r="F319" s="613" t="s">
        <v>6965</v>
      </c>
      <c r="G319" s="678" t="s">
        <v>18</v>
      </c>
      <c r="H319" s="613" t="s">
        <v>6019</v>
      </c>
      <c r="I319" s="895" t="s">
        <v>4569</v>
      </c>
      <c r="J319" s="623">
        <v>614373.11</v>
      </c>
      <c r="K319" s="873">
        <v>59.595799999999997</v>
      </c>
      <c r="L319" s="873">
        <f t="shared" si="18"/>
        <v>10309.000130881706</v>
      </c>
      <c r="M319" s="612">
        <v>60</v>
      </c>
      <c r="N319" s="615">
        <f t="shared" si="19"/>
        <v>10239.551833333333</v>
      </c>
      <c r="O319" s="616">
        <f t="shared" ca="1" si="17"/>
        <v>13</v>
      </c>
      <c r="P319" s="873">
        <f t="shared" ca="1" si="21"/>
        <v>481258.93616666668</v>
      </c>
      <c r="Q319" s="613" t="s">
        <v>6960</v>
      </c>
    </row>
    <row r="320" spans="2:17" ht="60" x14ac:dyDescent="0.25">
      <c r="B320" s="611">
        <v>45448</v>
      </c>
      <c r="C320" s="611">
        <v>45548</v>
      </c>
      <c r="D320" s="612" t="s">
        <v>2349</v>
      </c>
      <c r="E320" s="613" t="s">
        <v>28</v>
      </c>
      <c r="F320" s="613" t="s">
        <v>6965</v>
      </c>
      <c r="G320" s="678" t="s">
        <v>18</v>
      </c>
      <c r="H320" s="613" t="s">
        <v>6019</v>
      </c>
      <c r="I320" s="895" t="s">
        <v>4569</v>
      </c>
      <c r="J320" s="623">
        <v>614373.11</v>
      </c>
      <c r="K320" s="873">
        <v>59.595799999999997</v>
      </c>
      <c r="L320" s="873">
        <f t="shared" si="18"/>
        <v>10309.000130881706</v>
      </c>
      <c r="M320" s="612">
        <v>60</v>
      </c>
      <c r="N320" s="615">
        <f t="shared" si="19"/>
        <v>10239.551833333333</v>
      </c>
      <c r="O320" s="616">
        <f t="shared" ca="1" si="17"/>
        <v>13</v>
      </c>
      <c r="P320" s="873">
        <f t="shared" ca="1" si="21"/>
        <v>481258.93616666668</v>
      </c>
      <c r="Q320" s="613" t="s">
        <v>6960</v>
      </c>
    </row>
    <row r="321" spans="2:17" ht="60" x14ac:dyDescent="0.25">
      <c r="B321" s="611">
        <v>45448</v>
      </c>
      <c r="C321" s="611">
        <v>45548</v>
      </c>
      <c r="D321" s="612" t="s">
        <v>2349</v>
      </c>
      <c r="E321" s="613" t="s">
        <v>28</v>
      </c>
      <c r="F321" s="613" t="s">
        <v>6965</v>
      </c>
      <c r="G321" s="678" t="s">
        <v>18</v>
      </c>
      <c r="H321" s="613" t="s">
        <v>6019</v>
      </c>
      <c r="I321" s="895" t="s">
        <v>4569</v>
      </c>
      <c r="J321" s="623">
        <v>614373.11</v>
      </c>
      <c r="K321" s="873">
        <v>59.595799999999997</v>
      </c>
      <c r="L321" s="873">
        <f t="shared" si="18"/>
        <v>10309.000130881706</v>
      </c>
      <c r="M321" s="612">
        <v>60</v>
      </c>
      <c r="N321" s="615">
        <f t="shared" si="19"/>
        <v>10239.551833333333</v>
      </c>
      <c r="O321" s="616">
        <f t="shared" ca="1" si="17"/>
        <v>13</v>
      </c>
      <c r="P321" s="873">
        <f t="shared" ca="1" si="21"/>
        <v>481258.93616666668</v>
      </c>
      <c r="Q321" s="613" t="s">
        <v>6960</v>
      </c>
    </row>
    <row r="322" spans="2:17" ht="54" customHeight="1" x14ac:dyDescent="0.25">
      <c r="B322" s="611">
        <v>45448</v>
      </c>
      <c r="C322" s="611">
        <v>45524</v>
      </c>
      <c r="D322" s="612" t="s">
        <v>2349</v>
      </c>
      <c r="E322" s="613" t="s">
        <v>28</v>
      </c>
      <c r="F322" s="613" t="s">
        <v>6966</v>
      </c>
      <c r="G322" s="678" t="s">
        <v>18</v>
      </c>
      <c r="H322" s="613" t="s">
        <v>6019</v>
      </c>
      <c r="I322" s="895" t="s">
        <v>4569</v>
      </c>
      <c r="J322" s="623">
        <v>705376.49</v>
      </c>
      <c r="K322" s="873">
        <v>59.595799999999997</v>
      </c>
      <c r="L322" s="873">
        <f t="shared" si="18"/>
        <v>11836.010087959219</v>
      </c>
      <c r="M322" s="612">
        <v>60</v>
      </c>
      <c r="N322" s="615">
        <f t="shared" si="19"/>
        <v>11756.274833333333</v>
      </c>
      <c r="O322" s="616">
        <f t="shared" ca="1" si="17"/>
        <v>13</v>
      </c>
      <c r="P322" s="873">
        <f t="shared" ca="1" si="21"/>
        <v>552544.91716666659</v>
      </c>
      <c r="Q322" s="613" t="s">
        <v>6960</v>
      </c>
    </row>
    <row r="323" spans="2:17" ht="150" x14ac:dyDescent="0.25">
      <c r="B323" s="611">
        <v>45470</v>
      </c>
      <c r="C323" s="611">
        <v>45462</v>
      </c>
      <c r="D323" s="612" t="s">
        <v>6902</v>
      </c>
      <c r="E323" s="613" t="s">
        <v>28</v>
      </c>
      <c r="F323" s="613" t="s">
        <v>6903</v>
      </c>
      <c r="G323" s="678" t="s">
        <v>18</v>
      </c>
      <c r="H323" s="613" t="s">
        <v>6019</v>
      </c>
      <c r="I323" s="613" t="s">
        <v>6393</v>
      </c>
      <c r="J323" s="623">
        <v>1747250</v>
      </c>
      <c r="K323" s="873">
        <v>60.25</v>
      </c>
      <c r="L323" s="873">
        <f t="shared" si="18"/>
        <v>29000</v>
      </c>
      <c r="M323" s="612">
        <v>60</v>
      </c>
      <c r="N323" s="615">
        <f t="shared" si="19"/>
        <v>29120.833333333332</v>
      </c>
      <c r="O323" s="616">
        <f t="shared" ca="1" si="17"/>
        <v>13</v>
      </c>
      <c r="P323" s="873">
        <f t="shared" ca="1" si="21"/>
        <v>1368679.1666666667</v>
      </c>
      <c r="Q323" s="613" t="s">
        <v>6887</v>
      </c>
    </row>
    <row r="324" spans="2:17" ht="135" x14ac:dyDescent="0.25">
      <c r="B324" s="611">
        <v>45470</v>
      </c>
      <c r="C324" s="611">
        <v>45462</v>
      </c>
      <c r="D324" s="612" t="s">
        <v>6902</v>
      </c>
      <c r="E324" s="613" t="s">
        <v>28</v>
      </c>
      <c r="F324" s="613" t="s">
        <v>6904</v>
      </c>
      <c r="G324" s="678" t="s">
        <v>6905</v>
      </c>
      <c r="H324" s="613" t="s">
        <v>6019</v>
      </c>
      <c r="I324" s="613" t="s">
        <v>6393</v>
      </c>
      <c r="J324" s="623">
        <v>22774</v>
      </c>
      <c r="K324" s="873">
        <v>60.25</v>
      </c>
      <c r="L324" s="873">
        <f t="shared" si="18"/>
        <v>377.99170124481327</v>
      </c>
      <c r="M324" s="612">
        <v>60</v>
      </c>
      <c r="N324" s="615">
        <f t="shared" si="19"/>
        <v>379.56666666666666</v>
      </c>
      <c r="O324" s="616">
        <f t="shared" ca="1" si="17"/>
        <v>13</v>
      </c>
      <c r="P324" s="873">
        <f t="shared" ca="1" si="21"/>
        <v>17839.633333333331</v>
      </c>
      <c r="Q324" s="613" t="s">
        <v>6887</v>
      </c>
    </row>
    <row r="325" spans="2:17" ht="135" x14ac:dyDescent="0.25">
      <c r="B325" s="611">
        <v>45470</v>
      </c>
      <c r="C325" s="611">
        <v>45462</v>
      </c>
      <c r="D325" s="612" t="s">
        <v>6902</v>
      </c>
      <c r="E325" s="613" t="s">
        <v>28</v>
      </c>
      <c r="F325" s="613" t="s">
        <v>6904</v>
      </c>
      <c r="G325" s="678" t="s">
        <v>18</v>
      </c>
      <c r="H325" s="613" t="s">
        <v>6019</v>
      </c>
      <c r="I325" s="613" t="s">
        <v>6393</v>
      </c>
      <c r="J325" s="623">
        <v>22774</v>
      </c>
      <c r="K325" s="873">
        <v>60.25</v>
      </c>
      <c r="L325" s="873">
        <f t="shared" si="18"/>
        <v>377.99170124481327</v>
      </c>
      <c r="M325" s="612">
        <v>60</v>
      </c>
      <c r="N325" s="615">
        <f t="shared" si="19"/>
        <v>379.56666666666666</v>
      </c>
      <c r="O325" s="616">
        <f t="shared" ca="1" si="17"/>
        <v>13</v>
      </c>
      <c r="P325" s="873">
        <f t="shared" ca="1" si="21"/>
        <v>17839.633333333331</v>
      </c>
      <c r="Q325" s="613" t="s">
        <v>6887</v>
      </c>
    </row>
    <row r="326" spans="2:17" ht="135" x14ac:dyDescent="0.25">
      <c r="B326" s="611">
        <v>45470</v>
      </c>
      <c r="C326" s="611">
        <v>45462</v>
      </c>
      <c r="D326" s="612" t="s">
        <v>6902</v>
      </c>
      <c r="E326" s="613" t="s">
        <v>28</v>
      </c>
      <c r="F326" s="613" t="s">
        <v>6904</v>
      </c>
      <c r="G326" s="678" t="s">
        <v>18</v>
      </c>
      <c r="H326" s="613" t="s">
        <v>6019</v>
      </c>
      <c r="I326" s="613" t="s">
        <v>6393</v>
      </c>
      <c r="J326" s="623">
        <v>22774</v>
      </c>
      <c r="K326" s="873">
        <v>60.25</v>
      </c>
      <c r="L326" s="873">
        <f t="shared" si="18"/>
        <v>377.99170124481327</v>
      </c>
      <c r="M326" s="612">
        <v>60</v>
      </c>
      <c r="N326" s="615">
        <f t="shared" si="19"/>
        <v>379.56666666666666</v>
      </c>
      <c r="O326" s="616">
        <f t="shared" ca="1" si="17"/>
        <v>13</v>
      </c>
      <c r="P326" s="873">
        <f t="shared" ca="1" si="21"/>
        <v>17839.633333333331</v>
      </c>
      <c r="Q326" s="613" t="s">
        <v>6887</v>
      </c>
    </row>
    <row r="327" spans="2:17" ht="135" x14ac:dyDescent="0.25">
      <c r="B327" s="611">
        <v>45470</v>
      </c>
      <c r="C327" s="611">
        <v>45462</v>
      </c>
      <c r="D327" s="612" t="s">
        <v>6902</v>
      </c>
      <c r="E327" s="613" t="s">
        <v>28</v>
      </c>
      <c r="F327" s="613" t="s">
        <v>6904</v>
      </c>
      <c r="G327" s="678" t="s">
        <v>18</v>
      </c>
      <c r="H327" s="613" t="s">
        <v>6019</v>
      </c>
      <c r="I327" s="613" t="s">
        <v>6393</v>
      </c>
      <c r="J327" s="623">
        <v>22776</v>
      </c>
      <c r="K327" s="873">
        <v>60.25</v>
      </c>
      <c r="L327" s="873">
        <f t="shared" si="18"/>
        <v>378.02489626556019</v>
      </c>
      <c r="M327" s="612">
        <v>60</v>
      </c>
      <c r="N327" s="615">
        <f t="shared" si="19"/>
        <v>379.6</v>
      </c>
      <c r="O327" s="616">
        <f t="shared" ca="1" si="17"/>
        <v>13</v>
      </c>
      <c r="P327" s="873">
        <f t="shared" ca="1" si="21"/>
        <v>17841.2</v>
      </c>
      <c r="Q327" s="613" t="s">
        <v>6887</v>
      </c>
    </row>
    <row r="328" spans="2:17" ht="135" x14ac:dyDescent="0.25">
      <c r="B328" s="611">
        <v>45470</v>
      </c>
      <c r="C328" s="611">
        <v>45462</v>
      </c>
      <c r="D328" s="612" t="s">
        <v>6902</v>
      </c>
      <c r="E328" s="613" t="s">
        <v>28</v>
      </c>
      <c r="F328" s="613" t="s">
        <v>6906</v>
      </c>
      <c r="G328" s="678" t="s">
        <v>18</v>
      </c>
      <c r="H328" s="613" t="s">
        <v>6019</v>
      </c>
      <c r="I328" s="613" t="s">
        <v>6393</v>
      </c>
      <c r="J328" s="623">
        <v>22774</v>
      </c>
      <c r="K328" s="873">
        <v>60.25</v>
      </c>
      <c r="L328" s="873">
        <f t="shared" si="18"/>
        <v>377.99170124481327</v>
      </c>
      <c r="M328" s="612">
        <v>60</v>
      </c>
      <c r="N328" s="615">
        <f t="shared" si="19"/>
        <v>379.56666666666666</v>
      </c>
      <c r="O328" s="616">
        <f t="shared" ca="1" si="17"/>
        <v>13</v>
      </c>
      <c r="P328" s="873">
        <f t="shared" ca="1" si="21"/>
        <v>17839.633333333331</v>
      </c>
      <c r="Q328" s="613" t="s">
        <v>6887</v>
      </c>
    </row>
    <row r="329" spans="2:17" ht="135" x14ac:dyDescent="0.25">
      <c r="B329" s="611">
        <v>45470</v>
      </c>
      <c r="C329" s="611">
        <v>45462</v>
      </c>
      <c r="D329" s="612" t="s">
        <v>6902</v>
      </c>
      <c r="E329" s="613" t="s">
        <v>28</v>
      </c>
      <c r="F329" s="613" t="s">
        <v>6906</v>
      </c>
      <c r="G329" s="678" t="s">
        <v>18</v>
      </c>
      <c r="H329" s="613" t="s">
        <v>6019</v>
      </c>
      <c r="I329" s="613" t="s">
        <v>6393</v>
      </c>
      <c r="J329" s="623">
        <v>22774</v>
      </c>
      <c r="K329" s="873">
        <v>60.25</v>
      </c>
      <c r="L329" s="873">
        <f t="shared" si="18"/>
        <v>377.99170124481327</v>
      </c>
      <c r="M329" s="612">
        <v>60</v>
      </c>
      <c r="N329" s="615">
        <f t="shared" si="19"/>
        <v>379.56666666666666</v>
      </c>
      <c r="O329" s="616">
        <f t="shared" ca="1" si="17"/>
        <v>13</v>
      </c>
      <c r="P329" s="873">
        <f t="shared" ca="1" si="21"/>
        <v>17839.633333333331</v>
      </c>
      <c r="Q329" s="613" t="s">
        <v>6887</v>
      </c>
    </row>
    <row r="330" spans="2:17" ht="135" x14ac:dyDescent="0.25">
      <c r="B330" s="611">
        <v>45470</v>
      </c>
      <c r="C330" s="611">
        <v>45462</v>
      </c>
      <c r="D330" s="612" t="s">
        <v>6902</v>
      </c>
      <c r="E330" s="613" t="s">
        <v>28</v>
      </c>
      <c r="F330" s="613" t="s">
        <v>6906</v>
      </c>
      <c r="G330" s="678" t="s">
        <v>18</v>
      </c>
      <c r="H330" s="613" t="s">
        <v>6019</v>
      </c>
      <c r="I330" s="613" t="s">
        <v>6393</v>
      </c>
      <c r="J330" s="623">
        <v>22774</v>
      </c>
      <c r="K330" s="873">
        <v>60.25</v>
      </c>
      <c r="L330" s="873">
        <f t="shared" si="18"/>
        <v>377.99170124481327</v>
      </c>
      <c r="M330" s="612">
        <v>60</v>
      </c>
      <c r="N330" s="615">
        <f t="shared" si="19"/>
        <v>379.56666666666666</v>
      </c>
      <c r="O330" s="616">
        <f t="shared" ca="1" si="17"/>
        <v>13</v>
      </c>
      <c r="P330" s="873">
        <f t="shared" ca="1" si="21"/>
        <v>17839.633333333331</v>
      </c>
      <c r="Q330" s="613" t="s">
        <v>6887</v>
      </c>
    </row>
    <row r="331" spans="2:17" ht="135" x14ac:dyDescent="0.25">
      <c r="B331" s="611">
        <v>45470</v>
      </c>
      <c r="C331" s="611">
        <v>45462</v>
      </c>
      <c r="D331" s="612" t="s">
        <v>6902</v>
      </c>
      <c r="E331" s="613" t="s">
        <v>28</v>
      </c>
      <c r="F331" s="613" t="s">
        <v>6906</v>
      </c>
      <c r="G331" s="678" t="s">
        <v>18</v>
      </c>
      <c r="H331" s="613" t="s">
        <v>6019</v>
      </c>
      <c r="I331" s="613" t="s">
        <v>6393</v>
      </c>
      <c r="J331" s="623">
        <v>22776</v>
      </c>
      <c r="K331" s="873">
        <v>60.25</v>
      </c>
      <c r="L331" s="873">
        <f t="shared" si="18"/>
        <v>378.02489626556019</v>
      </c>
      <c r="M331" s="612">
        <v>60</v>
      </c>
      <c r="N331" s="615">
        <f t="shared" si="19"/>
        <v>379.6</v>
      </c>
      <c r="O331" s="616">
        <f t="shared" ca="1" si="17"/>
        <v>13</v>
      </c>
      <c r="P331" s="873">
        <f t="shared" ca="1" si="21"/>
        <v>17841.2</v>
      </c>
      <c r="Q331" s="613" t="s">
        <v>6887</v>
      </c>
    </row>
    <row r="332" spans="2:17" ht="135" x14ac:dyDescent="0.25">
      <c r="B332" s="611">
        <v>45470</v>
      </c>
      <c r="C332" s="611">
        <v>45462</v>
      </c>
      <c r="D332" s="612" t="s">
        <v>6902</v>
      </c>
      <c r="E332" s="613" t="s">
        <v>28</v>
      </c>
      <c r="F332" s="613" t="s">
        <v>6907</v>
      </c>
      <c r="G332" s="678" t="s">
        <v>18</v>
      </c>
      <c r="H332" s="613" t="s">
        <v>6019</v>
      </c>
      <c r="I332" s="613" t="s">
        <v>6393</v>
      </c>
      <c r="J332" s="623">
        <v>22774</v>
      </c>
      <c r="K332" s="873">
        <v>60.25</v>
      </c>
      <c r="L332" s="873">
        <f t="shared" si="18"/>
        <v>377.99170124481327</v>
      </c>
      <c r="M332" s="612">
        <v>60</v>
      </c>
      <c r="N332" s="615">
        <f t="shared" si="19"/>
        <v>379.56666666666666</v>
      </c>
      <c r="O332" s="616">
        <f t="shared" ca="1" si="17"/>
        <v>13</v>
      </c>
      <c r="P332" s="873">
        <f t="shared" ca="1" si="21"/>
        <v>17839.633333333331</v>
      </c>
      <c r="Q332" s="613" t="s">
        <v>6887</v>
      </c>
    </row>
    <row r="333" spans="2:17" ht="135" x14ac:dyDescent="0.25">
      <c r="B333" s="611">
        <v>45470</v>
      </c>
      <c r="C333" s="611">
        <v>45462</v>
      </c>
      <c r="D333" s="612" t="s">
        <v>6902</v>
      </c>
      <c r="E333" s="613" t="s">
        <v>28</v>
      </c>
      <c r="F333" s="613" t="s">
        <v>6907</v>
      </c>
      <c r="G333" s="678" t="s">
        <v>18</v>
      </c>
      <c r="H333" s="613" t="s">
        <v>6019</v>
      </c>
      <c r="I333" s="613" t="s">
        <v>6393</v>
      </c>
      <c r="J333" s="623">
        <v>22774</v>
      </c>
      <c r="K333" s="873">
        <v>60.25</v>
      </c>
      <c r="L333" s="873">
        <f t="shared" si="18"/>
        <v>377.99170124481327</v>
      </c>
      <c r="M333" s="612">
        <v>60</v>
      </c>
      <c r="N333" s="615">
        <f t="shared" si="19"/>
        <v>379.56666666666666</v>
      </c>
      <c r="O333" s="616">
        <f t="shared" ca="1" si="17"/>
        <v>13</v>
      </c>
      <c r="P333" s="873">
        <f t="shared" ca="1" si="21"/>
        <v>17839.633333333331</v>
      </c>
      <c r="Q333" s="613" t="s">
        <v>6887</v>
      </c>
    </row>
    <row r="334" spans="2:17" ht="135" x14ac:dyDescent="0.25">
      <c r="B334" s="611">
        <v>45470</v>
      </c>
      <c r="C334" s="611">
        <v>45462</v>
      </c>
      <c r="D334" s="612" t="s">
        <v>6902</v>
      </c>
      <c r="E334" s="613" t="s">
        <v>28</v>
      </c>
      <c r="F334" s="613" t="s">
        <v>6907</v>
      </c>
      <c r="G334" s="678" t="s">
        <v>18</v>
      </c>
      <c r="H334" s="613" t="s">
        <v>6019</v>
      </c>
      <c r="I334" s="613" t="s">
        <v>6393</v>
      </c>
      <c r="J334" s="623">
        <v>22774</v>
      </c>
      <c r="K334" s="873">
        <v>60.25</v>
      </c>
      <c r="L334" s="873">
        <f t="shared" si="18"/>
        <v>377.99170124481327</v>
      </c>
      <c r="M334" s="612">
        <v>60</v>
      </c>
      <c r="N334" s="615">
        <f t="shared" si="19"/>
        <v>379.56666666666666</v>
      </c>
      <c r="O334" s="616">
        <f t="shared" ca="1" si="17"/>
        <v>13</v>
      </c>
      <c r="P334" s="873">
        <f t="shared" ca="1" si="21"/>
        <v>17839.633333333331</v>
      </c>
      <c r="Q334" s="613" t="s">
        <v>6887</v>
      </c>
    </row>
    <row r="335" spans="2:17" ht="135" x14ac:dyDescent="0.25">
      <c r="B335" s="611">
        <v>45470</v>
      </c>
      <c r="C335" s="611">
        <v>45462</v>
      </c>
      <c r="D335" s="612" t="s">
        <v>6902</v>
      </c>
      <c r="E335" s="613" t="s">
        <v>28</v>
      </c>
      <c r="F335" s="613" t="s">
        <v>6907</v>
      </c>
      <c r="G335" s="678" t="s">
        <v>18</v>
      </c>
      <c r="H335" s="613" t="s">
        <v>6019</v>
      </c>
      <c r="I335" s="613" t="s">
        <v>6393</v>
      </c>
      <c r="J335" s="623">
        <v>22776</v>
      </c>
      <c r="K335" s="873">
        <v>60.25</v>
      </c>
      <c r="L335" s="873">
        <f t="shared" si="18"/>
        <v>378.02489626556019</v>
      </c>
      <c r="M335" s="612">
        <v>60</v>
      </c>
      <c r="N335" s="615">
        <f t="shared" si="19"/>
        <v>379.6</v>
      </c>
      <c r="O335" s="616">
        <f t="shared" ca="1" si="17"/>
        <v>13</v>
      </c>
      <c r="P335" s="873">
        <f t="shared" ca="1" si="21"/>
        <v>17841.2</v>
      </c>
      <c r="Q335" s="613" t="s">
        <v>6887</v>
      </c>
    </row>
    <row r="336" spans="2:17" ht="105" x14ac:dyDescent="0.25">
      <c r="B336" s="611">
        <v>45470</v>
      </c>
      <c r="C336" s="611">
        <v>45462</v>
      </c>
      <c r="D336" s="612" t="s">
        <v>6902</v>
      </c>
      <c r="E336" s="613" t="s">
        <v>28</v>
      </c>
      <c r="F336" s="613" t="s">
        <v>6908</v>
      </c>
      <c r="G336" s="678" t="s">
        <v>18</v>
      </c>
      <c r="H336" s="613" t="s">
        <v>6019</v>
      </c>
      <c r="I336" s="613" t="s">
        <v>6393</v>
      </c>
      <c r="J336" s="623">
        <v>455490</v>
      </c>
      <c r="K336" s="873">
        <v>60.25</v>
      </c>
      <c r="L336" s="873">
        <f t="shared" si="18"/>
        <v>7560</v>
      </c>
      <c r="M336" s="612">
        <v>60</v>
      </c>
      <c r="N336" s="615">
        <f t="shared" si="19"/>
        <v>7591.5</v>
      </c>
      <c r="O336" s="616">
        <f t="shared" ca="1" si="17"/>
        <v>13</v>
      </c>
      <c r="P336" s="873">
        <f t="shared" ca="1" si="21"/>
        <v>356800.5</v>
      </c>
      <c r="Q336" s="613" t="s">
        <v>6887</v>
      </c>
    </row>
    <row r="337" spans="2:17" ht="90" x14ac:dyDescent="0.25">
      <c r="B337" s="611">
        <v>45525</v>
      </c>
      <c r="C337" s="611">
        <v>45537</v>
      </c>
      <c r="D337" s="612" t="s">
        <v>6006</v>
      </c>
      <c r="E337" s="696" t="s">
        <v>6880</v>
      </c>
      <c r="F337" s="613" t="s">
        <v>6007</v>
      </c>
      <c r="G337" s="678" t="s">
        <v>18</v>
      </c>
      <c r="H337" s="613" t="s">
        <v>6019</v>
      </c>
      <c r="I337" s="613" t="s">
        <v>6009</v>
      </c>
      <c r="J337" s="623">
        <v>1075000.06</v>
      </c>
      <c r="K337" s="873">
        <v>59.430900000000001</v>
      </c>
      <c r="L337" s="873">
        <f t="shared" si="18"/>
        <v>18088.234571578087</v>
      </c>
      <c r="M337" s="612">
        <v>60</v>
      </c>
      <c r="N337" s="615">
        <f t="shared" si="19"/>
        <v>17916.667666666668</v>
      </c>
      <c r="O337" s="616">
        <f t="shared" ca="1" si="17"/>
        <v>11</v>
      </c>
      <c r="P337" s="873">
        <f t="shared" ca="1" si="21"/>
        <v>877916.71566666674</v>
      </c>
      <c r="Q337" s="613" t="s">
        <v>6008</v>
      </c>
    </row>
    <row r="338" spans="2:17" ht="60" x14ac:dyDescent="0.25">
      <c r="B338" s="611">
        <v>45534</v>
      </c>
      <c r="C338" s="611">
        <v>45603</v>
      </c>
      <c r="D338" s="612" t="s">
        <v>6390</v>
      </c>
      <c r="E338" s="613" t="s">
        <v>6881</v>
      </c>
      <c r="F338" s="613" t="s">
        <v>6392</v>
      </c>
      <c r="G338" s="613" t="s">
        <v>6395</v>
      </c>
      <c r="H338" s="613" t="s">
        <v>6019</v>
      </c>
      <c r="I338" s="613" t="s">
        <v>6393</v>
      </c>
      <c r="J338" s="623">
        <v>2294293.9900000002</v>
      </c>
      <c r="K338" s="873">
        <v>59.928899999999999</v>
      </c>
      <c r="L338" s="873">
        <f t="shared" si="18"/>
        <v>38283.5992317563</v>
      </c>
      <c r="M338" s="612">
        <v>60</v>
      </c>
      <c r="N338" s="615">
        <f t="shared" si="19"/>
        <v>38238.233166666672</v>
      </c>
      <c r="O338" s="616">
        <f t="shared" ca="1" si="17"/>
        <v>10</v>
      </c>
      <c r="P338" s="873">
        <f t="shared" ca="1" si="21"/>
        <v>1911911.6583333334</v>
      </c>
      <c r="Q338" s="613" t="s">
        <v>6391</v>
      </c>
    </row>
    <row r="339" spans="2:17" ht="60" x14ac:dyDescent="0.25">
      <c r="B339" s="611">
        <v>45534</v>
      </c>
      <c r="C339" s="611">
        <v>45603</v>
      </c>
      <c r="D339" s="837" t="s">
        <v>6390</v>
      </c>
      <c r="E339" s="613" t="s">
        <v>6882</v>
      </c>
      <c r="F339" s="613" t="s">
        <v>6392</v>
      </c>
      <c r="G339" s="613" t="s">
        <v>6396</v>
      </c>
      <c r="H339" s="613" t="s">
        <v>6019</v>
      </c>
      <c r="I339" s="613" t="s">
        <v>6394</v>
      </c>
      <c r="J339" s="623">
        <v>2294293.9900000002</v>
      </c>
      <c r="K339" s="873">
        <v>59.928899999999999</v>
      </c>
      <c r="L339" s="873">
        <f t="shared" si="18"/>
        <v>38283.5992317563</v>
      </c>
      <c r="M339" s="612">
        <v>60</v>
      </c>
      <c r="N339" s="615">
        <f t="shared" si="19"/>
        <v>38238.233166666672</v>
      </c>
      <c r="O339" s="616">
        <f t="shared" ca="1" si="17"/>
        <v>10</v>
      </c>
      <c r="P339" s="873">
        <f t="shared" ca="1" si="21"/>
        <v>1911911.6583333334</v>
      </c>
      <c r="Q339" s="613" t="s">
        <v>6391</v>
      </c>
    </row>
    <row r="340" spans="2:17" ht="45" x14ac:dyDescent="0.25">
      <c r="B340" s="611">
        <v>45644</v>
      </c>
      <c r="C340" s="611">
        <v>45653</v>
      </c>
      <c r="D340" s="837" t="s">
        <v>6909</v>
      </c>
      <c r="E340" s="632" t="s">
        <v>6910</v>
      </c>
      <c r="F340" s="613" t="s">
        <v>6911</v>
      </c>
      <c r="G340" s="613" t="s">
        <v>18</v>
      </c>
      <c r="H340" s="613" t="s">
        <v>6019</v>
      </c>
      <c r="I340" s="613" t="s">
        <v>4569</v>
      </c>
      <c r="J340" s="623">
        <v>5498.55</v>
      </c>
      <c r="K340" s="873">
        <v>60.698799999999999</v>
      </c>
      <c r="L340" s="873">
        <f t="shared" si="18"/>
        <v>90.587458071658759</v>
      </c>
      <c r="M340" s="612">
        <v>60</v>
      </c>
      <c r="N340" s="615">
        <f t="shared" si="19"/>
        <v>91.642499999999998</v>
      </c>
      <c r="O340" s="616">
        <f t="shared" ca="1" si="17"/>
        <v>7</v>
      </c>
      <c r="P340" s="873">
        <f t="shared" ca="1" si="21"/>
        <v>4857.0524999999998</v>
      </c>
      <c r="Q340" s="613" t="s">
        <v>4952</v>
      </c>
    </row>
    <row r="341" spans="2:17" ht="45" x14ac:dyDescent="0.25">
      <c r="B341" s="611">
        <v>45644</v>
      </c>
      <c r="C341" s="611">
        <v>45653</v>
      </c>
      <c r="D341" s="837" t="s">
        <v>6909</v>
      </c>
      <c r="E341" s="632" t="s">
        <v>6912</v>
      </c>
      <c r="F341" s="613" t="s">
        <v>6911</v>
      </c>
      <c r="G341" s="613" t="s">
        <v>18</v>
      </c>
      <c r="H341" s="613" t="s">
        <v>6019</v>
      </c>
      <c r="I341" s="613" t="s">
        <v>4569</v>
      </c>
      <c r="J341" s="623">
        <v>5498.55</v>
      </c>
      <c r="K341" s="873">
        <v>60.698799999999999</v>
      </c>
      <c r="L341" s="873">
        <f t="shared" si="18"/>
        <v>90.587458071658759</v>
      </c>
      <c r="M341" s="612">
        <v>60</v>
      </c>
      <c r="N341" s="615">
        <f t="shared" si="19"/>
        <v>91.642499999999998</v>
      </c>
      <c r="O341" s="616">
        <f t="shared" ca="1" si="17"/>
        <v>7</v>
      </c>
      <c r="P341" s="873">
        <f t="shared" ca="1" si="21"/>
        <v>4857.0524999999998</v>
      </c>
      <c r="Q341" s="613" t="s">
        <v>4952</v>
      </c>
    </row>
    <row r="342" spans="2:17" ht="45" x14ac:dyDescent="0.25">
      <c r="B342" s="611">
        <v>45644</v>
      </c>
      <c r="C342" s="611">
        <v>45653</v>
      </c>
      <c r="D342" s="837" t="s">
        <v>6909</v>
      </c>
      <c r="E342" s="632" t="s">
        <v>6913</v>
      </c>
      <c r="F342" s="613" t="s">
        <v>6911</v>
      </c>
      <c r="G342" s="613" t="s">
        <v>18</v>
      </c>
      <c r="H342" s="613" t="s">
        <v>6019</v>
      </c>
      <c r="I342" s="613" t="s">
        <v>4569</v>
      </c>
      <c r="J342" s="623">
        <v>5498.55</v>
      </c>
      <c r="K342" s="873">
        <v>60.698799999999999</v>
      </c>
      <c r="L342" s="873">
        <f t="shared" si="18"/>
        <v>90.587458071658759</v>
      </c>
      <c r="M342" s="612">
        <v>60</v>
      </c>
      <c r="N342" s="615">
        <f t="shared" si="19"/>
        <v>91.642499999999998</v>
      </c>
      <c r="O342" s="616">
        <f t="shared" ca="1" si="17"/>
        <v>7</v>
      </c>
      <c r="P342" s="873">
        <f t="shared" ca="1" si="21"/>
        <v>4857.0524999999998</v>
      </c>
      <c r="Q342" s="613" t="s">
        <v>4952</v>
      </c>
    </row>
    <row r="343" spans="2:17" ht="45" x14ac:dyDescent="0.25">
      <c r="B343" s="611">
        <v>45644</v>
      </c>
      <c r="C343" s="611">
        <v>45653</v>
      </c>
      <c r="D343" s="837" t="s">
        <v>6909</v>
      </c>
      <c r="E343" s="632" t="s">
        <v>6914</v>
      </c>
      <c r="F343" s="613" t="s">
        <v>6911</v>
      </c>
      <c r="G343" s="613" t="s">
        <v>18</v>
      </c>
      <c r="H343" s="613" t="s">
        <v>6019</v>
      </c>
      <c r="I343" s="613" t="s">
        <v>4569</v>
      </c>
      <c r="J343" s="623">
        <v>5498.55</v>
      </c>
      <c r="K343" s="873">
        <v>60.698799999999999</v>
      </c>
      <c r="L343" s="873">
        <f t="shared" si="18"/>
        <v>90.587458071658759</v>
      </c>
      <c r="M343" s="612">
        <v>60</v>
      </c>
      <c r="N343" s="615">
        <f t="shared" si="19"/>
        <v>91.642499999999998</v>
      </c>
      <c r="O343" s="616">
        <f t="shared" ca="1" si="17"/>
        <v>7</v>
      </c>
      <c r="P343" s="873">
        <f t="shared" ca="1" si="21"/>
        <v>4857.0524999999998</v>
      </c>
      <c r="Q343" s="613" t="s">
        <v>4952</v>
      </c>
    </row>
    <row r="344" spans="2:17" ht="45" x14ac:dyDescent="0.25">
      <c r="B344" s="611">
        <v>45644</v>
      </c>
      <c r="C344" s="611">
        <v>45653</v>
      </c>
      <c r="D344" s="837" t="s">
        <v>6909</v>
      </c>
      <c r="E344" s="632" t="s">
        <v>6915</v>
      </c>
      <c r="F344" s="613" t="s">
        <v>6911</v>
      </c>
      <c r="G344" s="613" t="s">
        <v>18</v>
      </c>
      <c r="H344" s="613" t="s">
        <v>6019</v>
      </c>
      <c r="I344" s="613" t="s">
        <v>4569</v>
      </c>
      <c r="J344" s="623">
        <v>5498.55</v>
      </c>
      <c r="K344" s="873">
        <v>60.698799999999999</v>
      </c>
      <c r="L344" s="873">
        <f t="shared" si="18"/>
        <v>90.587458071658759</v>
      </c>
      <c r="M344" s="612">
        <v>60</v>
      </c>
      <c r="N344" s="615">
        <f t="shared" si="19"/>
        <v>91.642499999999998</v>
      </c>
      <c r="O344" s="616">
        <f t="shared" ca="1" si="17"/>
        <v>7</v>
      </c>
      <c r="P344" s="873">
        <f t="shared" ca="1" si="21"/>
        <v>4857.0524999999998</v>
      </c>
      <c r="Q344" s="613" t="s">
        <v>4952</v>
      </c>
    </row>
    <row r="345" spans="2:17" ht="45" x14ac:dyDescent="0.25">
      <c r="B345" s="611">
        <v>45644</v>
      </c>
      <c r="C345" s="611">
        <v>45653</v>
      </c>
      <c r="D345" s="837" t="s">
        <v>6909</v>
      </c>
      <c r="E345" s="632" t="s">
        <v>6916</v>
      </c>
      <c r="F345" s="613" t="s">
        <v>6917</v>
      </c>
      <c r="G345" s="613" t="s">
        <v>18</v>
      </c>
      <c r="H345" s="613" t="s">
        <v>6019</v>
      </c>
      <c r="I345" s="613" t="s">
        <v>4569</v>
      </c>
      <c r="J345" s="873">
        <v>18726.419999999998</v>
      </c>
      <c r="K345" s="873">
        <v>60.698799999999999</v>
      </c>
      <c r="L345" s="873">
        <f t="shared" si="18"/>
        <v>308.5138421187898</v>
      </c>
      <c r="M345" s="612">
        <v>60</v>
      </c>
      <c r="N345" s="615">
        <f t="shared" si="19"/>
        <v>312.10699999999997</v>
      </c>
      <c r="O345" s="616">
        <f t="shared" ca="1" si="17"/>
        <v>7</v>
      </c>
      <c r="P345" s="873">
        <f t="shared" ca="1" si="21"/>
        <v>16541.670999999998</v>
      </c>
      <c r="Q345" s="613" t="s">
        <v>4952</v>
      </c>
    </row>
    <row r="346" spans="2:17" ht="45" x14ac:dyDescent="0.25">
      <c r="B346" s="611">
        <v>45644</v>
      </c>
      <c r="C346" s="611">
        <v>45653</v>
      </c>
      <c r="D346" s="837" t="s">
        <v>6909</v>
      </c>
      <c r="E346" s="632" t="s">
        <v>6918</v>
      </c>
      <c r="F346" s="613" t="s">
        <v>6917</v>
      </c>
      <c r="G346" s="613" t="s">
        <v>18</v>
      </c>
      <c r="H346" s="613" t="s">
        <v>6019</v>
      </c>
      <c r="I346" s="613" t="s">
        <v>4569</v>
      </c>
      <c r="J346" s="873">
        <v>18726.419999999998</v>
      </c>
      <c r="K346" s="873">
        <v>60.698799999999999</v>
      </c>
      <c r="L346" s="873">
        <f t="shared" si="18"/>
        <v>308.5138421187898</v>
      </c>
      <c r="M346" s="612">
        <v>60</v>
      </c>
      <c r="N346" s="615">
        <f t="shared" si="19"/>
        <v>312.10699999999997</v>
      </c>
      <c r="O346" s="616">
        <f t="shared" ca="1" si="17"/>
        <v>7</v>
      </c>
      <c r="P346" s="873">
        <f t="shared" ca="1" si="21"/>
        <v>16541.670999999998</v>
      </c>
      <c r="Q346" s="613" t="s">
        <v>4952</v>
      </c>
    </row>
    <row r="347" spans="2:17" ht="45" x14ac:dyDescent="0.25">
      <c r="B347" s="611">
        <v>45644</v>
      </c>
      <c r="C347" s="611">
        <v>45653</v>
      </c>
      <c r="D347" s="837" t="s">
        <v>6909</v>
      </c>
      <c r="E347" s="632" t="s">
        <v>6919</v>
      </c>
      <c r="F347" s="613" t="s">
        <v>6917</v>
      </c>
      <c r="G347" s="613" t="s">
        <v>18</v>
      </c>
      <c r="H347" s="613" t="s">
        <v>6019</v>
      </c>
      <c r="I347" s="613" t="s">
        <v>4569</v>
      </c>
      <c r="J347" s="873">
        <v>18726.419999999998</v>
      </c>
      <c r="K347" s="873">
        <v>60.698799999999999</v>
      </c>
      <c r="L347" s="873">
        <f t="shared" si="18"/>
        <v>308.5138421187898</v>
      </c>
      <c r="M347" s="612">
        <v>60</v>
      </c>
      <c r="N347" s="615">
        <f t="shared" si="19"/>
        <v>312.10699999999997</v>
      </c>
      <c r="O347" s="616">
        <f t="shared" ca="1" si="17"/>
        <v>7</v>
      </c>
      <c r="P347" s="873">
        <f t="shared" ca="1" si="21"/>
        <v>16541.670999999998</v>
      </c>
      <c r="Q347" s="613" t="s">
        <v>4952</v>
      </c>
    </row>
    <row r="348" spans="2:17" ht="45" x14ac:dyDescent="0.25">
      <c r="B348" s="611">
        <v>45644</v>
      </c>
      <c r="C348" s="611">
        <v>45653</v>
      </c>
      <c r="D348" s="837" t="s">
        <v>6909</v>
      </c>
      <c r="E348" s="632" t="s">
        <v>6920</v>
      </c>
      <c r="F348" s="613" t="s">
        <v>6917</v>
      </c>
      <c r="G348" s="613" t="s">
        <v>18</v>
      </c>
      <c r="H348" s="613" t="s">
        <v>6019</v>
      </c>
      <c r="I348" s="613" t="s">
        <v>4569</v>
      </c>
      <c r="J348" s="873">
        <v>18726.419999999998</v>
      </c>
      <c r="K348" s="873">
        <v>60.698799999999999</v>
      </c>
      <c r="L348" s="873">
        <f t="shared" si="18"/>
        <v>308.5138421187898</v>
      </c>
      <c r="M348" s="612">
        <v>60</v>
      </c>
      <c r="N348" s="615">
        <f t="shared" si="19"/>
        <v>312.10699999999997</v>
      </c>
      <c r="O348" s="616">
        <f t="shared" ca="1" si="17"/>
        <v>7</v>
      </c>
      <c r="P348" s="873">
        <f t="shared" ca="1" si="21"/>
        <v>16541.670999999998</v>
      </c>
      <c r="Q348" s="613" t="s">
        <v>4952</v>
      </c>
    </row>
    <row r="349" spans="2:17" ht="45" x14ac:dyDescent="0.25">
      <c r="B349" s="611">
        <v>45644</v>
      </c>
      <c r="C349" s="611">
        <v>45653</v>
      </c>
      <c r="D349" s="837" t="s">
        <v>6909</v>
      </c>
      <c r="E349" s="632" t="s">
        <v>6921</v>
      </c>
      <c r="F349" s="613" t="s">
        <v>6917</v>
      </c>
      <c r="G349" s="613" t="s">
        <v>18</v>
      </c>
      <c r="H349" s="613" t="s">
        <v>6019</v>
      </c>
      <c r="I349" s="613" t="s">
        <v>4569</v>
      </c>
      <c r="J349" s="873">
        <v>18726.419999999998</v>
      </c>
      <c r="K349" s="873">
        <v>60.698799999999999</v>
      </c>
      <c r="L349" s="873">
        <f t="shared" si="18"/>
        <v>308.5138421187898</v>
      </c>
      <c r="M349" s="612">
        <v>60</v>
      </c>
      <c r="N349" s="615">
        <f t="shared" si="19"/>
        <v>312.10699999999997</v>
      </c>
      <c r="O349" s="616">
        <f t="shared" ca="1" si="17"/>
        <v>7</v>
      </c>
      <c r="P349" s="873">
        <f t="shared" ca="1" si="21"/>
        <v>16541.670999999998</v>
      </c>
      <c r="Q349" s="613" t="s">
        <v>4952</v>
      </c>
    </row>
    <row r="350" spans="2:17" ht="45" x14ac:dyDescent="0.25">
      <c r="B350" s="611">
        <v>45644</v>
      </c>
      <c r="C350" s="611">
        <v>45653</v>
      </c>
      <c r="D350" s="837" t="s">
        <v>6909</v>
      </c>
      <c r="E350" s="632" t="s">
        <v>6922</v>
      </c>
      <c r="F350" s="613" t="s">
        <v>6923</v>
      </c>
      <c r="G350" s="613" t="s">
        <v>18</v>
      </c>
      <c r="H350" s="613" t="s">
        <v>6019</v>
      </c>
      <c r="I350" s="613" t="s">
        <v>4569</v>
      </c>
      <c r="J350" s="623">
        <v>33724.99</v>
      </c>
      <c r="K350" s="873">
        <v>60.698799999999999</v>
      </c>
      <c r="L350" s="873">
        <f t="shared" si="18"/>
        <v>555.61213730749205</v>
      </c>
      <c r="M350" s="612">
        <v>60</v>
      </c>
      <c r="N350" s="615">
        <f t="shared" si="19"/>
        <v>562.08316666666667</v>
      </c>
      <c r="O350" s="616">
        <f t="shared" ca="1" si="17"/>
        <v>7</v>
      </c>
      <c r="P350" s="873">
        <f t="shared" ca="1" si="21"/>
        <v>29790.407833333331</v>
      </c>
      <c r="Q350" s="613" t="s">
        <v>4952</v>
      </c>
    </row>
    <row r="351" spans="2:17" ht="75" x14ac:dyDescent="0.25">
      <c r="B351" s="611">
        <v>45649</v>
      </c>
      <c r="C351" s="611">
        <v>45667</v>
      </c>
      <c r="D351" s="837" t="s">
        <v>6924</v>
      </c>
      <c r="E351" s="632" t="s">
        <v>6925</v>
      </c>
      <c r="F351" s="613" t="s">
        <v>6926</v>
      </c>
      <c r="G351" s="613" t="s">
        <v>18</v>
      </c>
      <c r="H351" s="613" t="s">
        <v>6019</v>
      </c>
      <c r="I351" s="613" t="s">
        <v>6927</v>
      </c>
      <c r="J351" s="623">
        <v>44500</v>
      </c>
      <c r="K351" s="873">
        <v>60.892400000000002</v>
      </c>
      <c r="L351" s="873">
        <f t="shared" si="18"/>
        <v>730.79727519362018</v>
      </c>
      <c r="M351" s="612">
        <v>60</v>
      </c>
      <c r="N351" s="615">
        <f t="shared" si="19"/>
        <v>741.66666666666663</v>
      </c>
      <c r="O351" s="616">
        <f t="shared" ca="1" si="17"/>
        <v>7</v>
      </c>
      <c r="P351" s="873">
        <f t="shared" ca="1" si="21"/>
        <v>39308.333333333336</v>
      </c>
      <c r="Q351" s="613" t="s">
        <v>6928</v>
      </c>
    </row>
    <row r="352" spans="2:17" ht="45" x14ac:dyDescent="0.25">
      <c r="B352" s="611">
        <v>45652</v>
      </c>
      <c r="C352" s="611">
        <v>45667</v>
      </c>
      <c r="D352" s="837" t="s">
        <v>6929</v>
      </c>
      <c r="E352" s="632" t="s">
        <v>6930</v>
      </c>
      <c r="F352" s="613" t="s">
        <v>6931</v>
      </c>
      <c r="G352" s="613" t="s">
        <v>18</v>
      </c>
      <c r="H352" s="613" t="s">
        <v>6019</v>
      </c>
      <c r="I352" s="613" t="s">
        <v>4569</v>
      </c>
      <c r="J352" s="623">
        <v>16506.919999999998</v>
      </c>
      <c r="K352" s="873">
        <v>60.892400000000002</v>
      </c>
      <c r="L352" s="873">
        <f t="shared" si="18"/>
        <v>271.08341927728253</v>
      </c>
      <c r="M352" s="612">
        <v>60</v>
      </c>
      <c r="N352" s="615">
        <f t="shared" si="19"/>
        <v>275.1153333333333</v>
      </c>
      <c r="O352" s="616">
        <f t="shared" ca="1" si="17"/>
        <v>7</v>
      </c>
      <c r="P352" s="873">
        <f t="shared" ca="1" si="21"/>
        <v>14581.112666666664</v>
      </c>
      <c r="Q352" s="613" t="s">
        <v>4952</v>
      </c>
    </row>
    <row r="353" spans="2:17" ht="45" x14ac:dyDescent="0.25">
      <c r="B353" s="611">
        <v>45653</v>
      </c>
      <c r="C353" s="611">
        <v>45667</v>
      </c>
      <c r="D353" s="837" t="s">
        <v>6929</v>
      </c>
      <c r="E353" s="632" t="s">
        <v>6932</v>
      </c>
      <c r="F353" s="613" t="s">
        <v>6931</v>
      </c>
      <c r="G353" s="613" t="s">
        <v>18</v>
      </c>
      <c r="H353" s="613" t="s">
        <v>6019</v>
      </c>
      <c r="I353" s="613" t="s">
        <v>4569</v>
      </c>
      <c r="J353" s="623">
        <v>16506.919999999998</v>
      </c>
      <c r="K353" s="873">
        <v>60.892400000000002</v>
      </c>
      <c r="L353" s="873">
        <f t="shared" si="18"/>
        <v>271.08341927728253</v>
      </c>
      <c r="M353" s="612">
        <v>60</v>
      </c>
      <c r="N353" s="615">
        <f t="shared" si="19"/>
        <v>275.1153333333333</v>
      </c>
      <c r="O353" s="616">
        <f t="shared" ca="1" si="17"/>
        <v>7</v>
      </c>
      <c r="P353" s="873">
        <f t="shared" ca="1" si="21"/>
        <v>14581.112666666664</v>
      </c>
      <c r="Q353" s="613" t="s">
        <v>4952</v>
      </c>
    </row>
    <row r="354" spans="2:17" ht="45" x14ac:dyDescent="0.25">
      <c r="B354" s="611">
        <v>45653</v>
      </c>
      <c r="C354" s="611">
        <v>45667</v>
      </c>
      <c r="D354" s="837" t="s">
        <v>6929</v>
      </c>
      <c r="E354" s="632" t="s">
        <v>6933</v>
      </c>
      <c r="F354" s="613" t="s">
        <v>6931</v>
      </c>
      <c r="G354" s="613" t="s">
        <v>18</v>
      </c>
      <c r="H354" s="613" t="s">
        <v>6019</v>
      </c>
      <c r="I354" s="613" t="s">
        <v>4569</v>
      </c>
      <c r="J354" s="623">
        <v>16506.900000000001</v>
      </c>
      <c r="K354" s="873">
        <v>60.892400000000002</v>
      </c>
      <c r="L354" s="873">
        <f t="shared" si="18"/>
        <v>271.08309082906902</v>
      </c>
      <c r="M354" s="612">
        <v>60</v>
      </c>
      <c r="N354" s="615">
        <f t="shared" si="19"/>
        <v>275.11500000000001</v>
      </c>
      <c r="O354" s="616">
        <f t="shared" ca="1" si="17"/>
        <v>7</v>
      </c>
      <c r="P354" s="873">
        <f t="shared" ca="1" si="21"/>
        <v>14581.095000000001</v>
      </c>
      <c r="Q354" s="613" t="s">
        <v>4952</v>
      </c>
    </row>
    <row r="355" spans="2:17" ht="75" x14ac:dyDescent="0.25">
      <c r="B355" s="611">
        <v>45653</v>
      </c>
      <c r="C355" s="611">
        <v>45667</v>
      </c>
      <c r="D355" s="837" t="s">
        <v>6934</v>
      </c>
      <c r="E355" s="632" t="s">
        <v>6935</v>
      </c>
      <c r="F355" s="613" t="s">
        <v>6936</v>
      </c>
      <c r="G355" s="613" t="s">
        <v>18</v>
      </c>
      <c r="H355" s="613" t="s">
        <v>6937</v>
      </c>
      <c r="I355" s="613" t="s">
        <v>4662</v>
      </c>
      <c r="J355" s="623">
        <v>109200</v>
      </c>
      <c r="K355" s="873">
        <v>60.892400000000002</v>
      </c>
      <c r="L355" s="873">
        <f t="shared" si="18"/>
        <v>1793.3272460931084</v>
      </c>
      <c r="M355" s="612">
        <v>60</v>
      </c>
      <c r="N355" s="615">
        <f t="shared" si="19"/>
        <v>1820</v>
      </c>
      <c r="O355" s="616">
        <f t="shared" ca="1" si="17"/>
        <v>7</v>
      </c>
      <c r="P355" s="873">
        <f t="shared" ca="1" si="21"/>
        <v>96460</v>
      </c>
      <c r="Q355" s="613" t="s">
        <v>6938</v>
      </c>
    </row>
    <row r="356" spans="2:17" ht="75" x14ac:dyDescent="0.25">
      <c r="B356" s="611">
        <v>45653</v>
      </c>
      <c r="C356" s="611">
        <v>45667</v>
      </c>
      <c r="D356" s="837" t="s">
        <v>6934</v>
      </c>
      <c r="E356" s="632" t="s">
        <v>6939</v>
      </c>
      <c r="F356" s="613" t="s">
        <v>6940</v>
      </c>
      <c r="G356" s="613" t="s">
        <v>18</v>
      </c>
      <c r="H356" s="613" t="s">
        <v>6937</v>
      </c>
      <c r="I356" s="613" t="s">
        <v>4662</v>
      </c>
      <c r="J356" s="623">
        <v>57600</v>
      </c>
      <c r="K356" s="873">
        <v>60.892400000000002</v>
      </c>
      <c r="L356" s="873">
        <f t="shared" si="18"/>
        <v>945.93085508207912</v>
      </c>
      <c r="M356" s="612">
        <v>60</v>
      </c>
      <c r="N356" s="615">
        <f t="shared" ref="N356:N366" si="22">+J356/M356</f>
        <v>960</v>
      </c>
      <c r="O356" s="616">
        <f t="shared" ref="O356:O366" ca="1" si="23">IF(B356&lt;&gt;0,(ROUND((NOW()-B356)/30,0)),0)</f>
        <v>7</v>
      </c>
      <c r="P356" s="873">
        <f t="shared" ca="1" si="21"/>
        <v>50880</v>
      </c>
      <c r="Q356" s="613" t="s">
        <v>6938</v>
      </c>
    </row>
    <row r="357" spans="2:17" ht="75" x14ac:dyDescent="0.25">
      <c r="B357" s="611">
        <v>45653</v>
      </c>
      <c r="C357" s="611">
        <v>45667</v>
      </c>
      <c r="D357" s="837" t="s">
        <v>6934</v>
      </c>
      <c r="E357" s="632" t="s">
        <v>6941</v>
      </c>
      <c r="F357" s="613" t="s">
        <v>6942</v>
      </c>
      <c r="G357" s="613" t="s">
        <v>18</v>
      </c>
      <c r="H357" s="613" t="s">
        <v>6943</v>
      </c>
      <c r="I357" s="613" t="s">
        <v>4662</v>
      </c>
      <c r="J357" s="623">
        <v>86250</v>
      </c>
      <c r="K357" s="873">
        <v>60.892400000000002</v>
      </c>
      <c r="L357" s="873">
        <f t="shared" ref="L357:L366" si="24">+J357/K357</f>
        <v>1416.4329210213425</v>
      </c>
      <c r="M357" s="612">
        <v>60</v>
      </c>
      <c r="N357" s="615">
        <f t="shared" si="22"/>
        <v>1437.5</v>
      </c>
      <c r="O357" s="616">
        <f t="shared" ca="1" si="23"/>
        <v>7</v>
      </c>
      <c r="P357" s="873">
        <f t="shared" ca="1" si="21"/>
        <v>76187.5</v>
      </c>
      <c r="Q357" s="613" t="s">
        <v>6938</v>
      </c>
    </row>
    <row r="358" spans="2:17" ht="75" x14ac:dyDescent="0.25">
      <c r="B358" s="611">
        <v>45653</v>
      </c>
      <c r="C358" s="611">
        <v>45667</v>
      </c>
      <c r="D358" s="837" t="s">
        <v>6934</v>
      </c>
      <c r="E358" s="632" t="s">
        <v>6944</v>
      </c>
      <c r="F358" s="613" t="s">
        <v>6945</v>
      </c>
      <c r="G358" s="613" t="s">
        <v>18</v>
      </c>
      <c r="H358" s="613" t="s">
        <v>6946</v>
      </c>
      <c r="I358" s="613" t="s">
        <v>4662</v>
      </c>
      <c r="J358" s="623">
        <v>93750</v>
      </c>
      <c r="K358" s="873">
        <v>60.892400000000002</v>
      </c>
      <c r="L358" s="873">
        <f t="shared" si="24"/>
        <v>1539.6010011101548</v>
      </c>
      <c r="M358" s="612">
        <v>60</v>
      </c>
      <c r="N358" s="615">
        <f t="shared" si="22"/>
        <v>1562.5</v>
      </c>
      <c r="O358" s="616">
        <f t="shared" ca="1" si="23"/>
        <v>7</v>
      </c>
      <c r="P358" s="873">
        <f t="shared" ca="1" si="21"/>
        <v>82812.5</v>
      </c>
      <c r="Q358" s="613" t="s">
        <v>6938</v>
      </c>
    </row>
    <row r="359" spans="2:17" ht="75" x14ac:dyDescent="0.25">
      <c r="B359" s="611">
        <v>45653</v>
      </c>
      <c r="C359" s="611">
        <v>45667</v>
      </c>
      <c r="D359" s="837" t="s">
        <v>6934</v>
      </c>
      <c r="E359" s="632" t="s">
        <v>6947</v>
      </c>
      <c r="F359" s="613" t="s">
        <v>6948</v>
      </c>
      <c r="G359" s="613" t="s">
        <v>18</v>
      </c>
      <c r="H359" s="613" t="s">
        <v>6946</v>
      </c>
      <c r="I359" s="613" t="s">
        <v>4662</v>
      </c>
      <c r="J359" s="623">
        <v>117600</v>
      </c>
      <c r="K359" s="873">
        <v>60.892400000000002</v>
      </c>
      <c r="L359" s="873">
        <f t="shared" si="24"/>
        <v>1931.2754957925783</v>
      </c>
      <c r="M359" s="612">
        <v>60</v>
      </c>
      <c r="N359" s="615">
        <f t="shared" si="22"/>
        <v>1960</v>
      </c>
      <c r="O359" s="616">
        <f t="shared" ca="1" si="23"/>
        <v>7</v>
      </c>
      <c r="P359" s="873">
        <f t="shared" ca="1" si="21"/>
        <v>103880</v>
      </c>
      <c r="Q359" s="613" t="s">
        <v>6938</v>
      </c>
    </row>
    <row r="360" spans="2:17" ht="75" x14ac:dyDescent="0.25">
      <c r="B360" s="611">
        <v>45653</v>
      </c>
      <c r="C360" s="611">
        <v>45667</v>
      </c>
      <c r="D360" s="837" t="s">
        <v>6934</v>
      </c>
      <c r="E360" s="632" t="s">
        <v>6949</v>
      </c>
      <c r="F360" s="613" t="s">
        <v>6950</v>
      </c>
      <c r="G360" s="613" t="s">
        <v>18</v>
      </c>
      <c r="H360" s="613" t="s">
        <v>6946</v>
      </c>
      <c r="I360" s="613" t="s">
        <v>4662</v>
      </c>
      <c r="J360" s="623">
        <v>31200</v>
      </c>
      <c r="K360" s="873">
        <v>60.892400000000002</v>
      </c>
      <c r="L360" s="873">
        <f t="shared" si="24"/>
        <v>512.3792131694596</v>
      </c>
      <c r="M360" s="612">
        <v>60</v>
      </c>
      <c r="N360" s="615">
        <f t="shared" si="22"/>
        <v>520</v>
      </c>
      <c r="O360" s="616">
        <f t="shared" ca="1" si="23"/>
        <v>7</v>
      </c>
      <c r="P360" s="873">
        <f t="shared" ca="1" si="21"/>
        <v>27560</v>
      </c>
      <c r="Q360" s="613" t="s">
        <v>6938</v>
      </c>
    </row>
    <row r="361" spans="2:17" ht="75" x14ac:dyDescent="0.25">
      <c r="B361" s="611">
        <v>45653</v>
      </c>
      <c r="C361" s="611">
        <v>45667</v>
      </c>
      <c r="D361" s="837" t="s">
        <v>6934</v>
      </c>
      <c r="E361" s="632" t="s">
        <v>6951</v>
      </c>
      <c r="F361" s="613" t="s">
        <v>6945</v>
      </c>
      <c r="G361" s="613" t="s">
        <v>18</v>
      </c>
      <c r="H361" s="613" t="s">
        <v>6952</v>
      </c>
      <c r="I361" s="613" t="s">
        <v>4662</v>
      </c>
      <c r="J361" s="623">
        <v>135628.17000000001</v>
      </c>
      <c r="K361" s="873">
        <v>60.892400000000002</v>
      </c>
      <c r="L361" s="873">
        <f t="shared" si="24"/>
        <v>2227.341507314542</v>
      </c>
      <c r="M361" s="612">
        <v>60</v>
      </c>
      <c r="N361" s="615">
        <f t="shared" si="22"/>
        <v>2260.4695000000002</v>
      </c>
      <c r="O361" s="616">
        <f t="shared" ca="1" si="23"/>
        <v>7</v>
      </c>
      <c r="P361" s="873">
        <f t="shared" ca="1" si="21"/>
        <v>119804.88350000001</v>
      </c>
      <c r="Q361" s="613" t="s">
        <v>6938</v>
      </c>
    </row>
    <row r="362" spans="2:17" ht="75" x14ac:dyDescent="0.25">
      <c r="B362" s="611">
        <v>45653</v>
      </c>
      <c r="C362" s="611">
        <v>45667</v>
      </c>
      <c r="D362" s="837" t="s">
        <v>6934</v>
      </c>
      <c r="E362" s="632" t="s">
        <v>6953</v>
      </c>
      <c r="F362" s="613" t="s">
        <v>6948</v>
      </c>
      <c r="G362" s="613" t="s">
        <v>18</v>
      </c>
      <c r="H362" s="613" t="s">
        <v>6952</v>
      </c>
      <c r="I362" s="613" t="s">
        <v>4662</v>
      </c>
      <c r="J362" s="623">
        <v>153711</v>
      </c>
      <c r="K362" s="873">
        <v>60.892400000000002</v>
      </c>
      <c r="L362" s="873">
        <f t="shared" si="24"/>
        <v>2524.305167804192</v>
      </c>
      <c r="M362" s="612">
        <v>60</v>
      </c>
      <c r="N362" s="615">
        <f t="shared" si="22"/>
        <v>2561.85</v>
      </c>
      <c r="O362" s="616">
        <f t="shared" ca="1" si="23"/>
        <v>7</v>
      </c>
      <c r="P362" s="873">
        <f t="shared" ca="1" si="21"/>
        <v>135778.04999999999</v>
      </c>
      <c r="Q362" s="613" t="s">
        <v>6938</v>
      </c>
    </row>
    <row r="363" spans="2:17" ht="63" customHeight="1" x14ac:dyDescent="0.25">
      <c r="B363" s="611">
        <v>45653</v>
      </c>
      <c r="C363" s="611">
        <v>45667</v>
      </c>
      <c r="D363" s="837" t="s">
        <v>6934</v>
      </c>
      <c r="E363" s="632" t="s">
        <v>6954</v>
      </c>
      <c r="F363" s="613" t="s">
        <v>6955</v>
      </c>
      <c r="G363" s="613" t="s">
        <v>18</v>
      </c>
      <c r="H363" s="613" t="s">
        <v>6952</v>
      </c>
      <c r="I363" s="613" t="s">
        <v>4662</v>
      </c>
      <c r="J363" s="623">
        <v>60000</v>
      </c>
      <c r="K363" s="873">
        <v>60.892400000000002</v>
      </c>
      <c r="L363" s="873">
        <f t="shared" si="24"/>
        <v>985.34464071049911</v>
      </c>
      <c r="M363" s="612">
        <v>60</v>
      </c>
      <c r="N363" s="615">
        <f t="shared" si="22"/>
        <v>1000</v>
      </c>
      <c r="O363" s="616">
        <f t="shared" ca="1" si="23"/>
        <v>7</v>
      </c>
      <c r="P363" s="873">
        <f t="shared" ca="1" si="21"/>
        <v>53000</v>
      </c>
      <c r="Q363" s="613" t="s">
        <v>6938</v>
      </c>
    </row>
    <row r="364" spans="2:17" ht="105" x14ac:dyDescent="0.25">
      <c r="B364" s="611">
        <v>45653</v>
      </c>
      <c r="C364" s="611">
        <v>45667</v>
      </c>
      <c r="D364" s="837" t="s">
        <v>6967</v>
      </c>
      <c r="E364" s="632" t="s">
        <v>6968</v>
      </c>
      <c r="F364" s="613" t="s">
        <v>6969</v>
      </c>
      <c r="G364" s="613" t="s">
        <v>18</v>
      </c>
      <c r="H364" s="613" t="s">
        <v>6019</v>
      </c>
      <c r="I364" s="613" t="s">
        <v>6970</v>
      </c>
      <c r="J364" s="623">
        <v>224200</v>
      </c>
      <c r="K364" s="873">
        <v>60.892400000000002</v>
      </c>
      <c r="L364" s="873">
        <f t="shared" si="24"/>
        <v>3681.9044741215653</v>
      </c>
      <c r="M364" s="612">
        <v>60</v>
      </c>
      <c r="N364" s="615">
        <f t="shared" si="22"/>
        <v>3736.6666666666665</v>
      </c>
      <c r="O364" s="616">
        <f t="shared" ca="1" si="23"/>
        <v>7</v>
      </c>
      <c r="P364" s="873">
        <f t="shared" ca="1" si="21"/>
        <v>198043.33333333334</v>
      </c>
      <c r="Q364" s="613" t="s">
        <v>6971</v>
      </c>
    </row>
    <row r="365" spans="2:17" ht="105" x14ac:dyDescent="0.25">
      <c r="B365" s="611">
        <v>45653</v>
      </c>
      <c r="C365" s="611">
        <v>45667</v>
      </c>
      <c r="D365" s="837" t="s">
        <v>6967</v>
      </c>
      <c r="E365" s="632" t="s">
        <v>6972</v>
      </c>
      <c r="F365" s="613" t="s">
        <v>6969</v>
      </c>
      <c r="G365" s="613" t="s">
        <v>18</v>
      </c>
      <c r="H365" s="613" t="s">
        <v>6019</v>
      </c>
      <c r="I365" s="613" t="s">
        <v>6970</v>
      </c>
      <c r="J365" s="623">
        <v>224200</v>
      </c>
      <c r="K365" s="873">
        <v>60.892400000000002</v>
      </c>
      <c r="L365" s="873">
        <f t="shared" si="24"/>
        <v>3681.9044741215653</v>
      </c>
      <c r="M365" s="612">
        <v>60</v>
      </c>
      <c r="N365" s="615">
        <f t="shared" si="22"/>
        <v>3736.6666666666665</v>
      </c>
      <c r="O365" s="616">
        <f t="shared" ca="1" si="23"/>
        <v>7</v>
      </c>
      <c r="P365" s="873">
        <f t="shared" ca="1" si="21"/>
        <v>198043.33333333334</v>
      </c>
      <c r="Q365" s="613" t="s">
        <v>6971</v>
      </c>
    </row>
    <row r="366" spans="2:17" ht="133.5" customHeight="1" x14ac:dyDescent="0.25">
      <c r="B366" s="611">
        <v>45653</v>
      </c>
      <c r="C366" s="611">
        <v>45667</v>
      </c>
      <c r="D366" s="837" t="s">
        <v>7051</v>
      </c>
      <c r="E366" s="632" t="s">
        <v>6973</v>
      </c>
      <c r="F366" s="613" t="s">
        <v>6974</v>
      </c>
      <c r="G366" s="613" t="s">
        <v>7052</v>
      </c>
      <c r="H366" s="613" t="s">
        <v>6019</v>
      </c>
      <c r="I366" s="613" t="s">
        <v>4569</v>
      </c>
      <c r="J366" s="914">
        <v>247827.94</v>
      </c>
      <c r="K366" s="873">
        <v>60.892400000000002</v>
      </c>
      <c r="L366" s="873">
        <f t="shared" si="24"/>
        <v>4069.9322082887188</v>
      </c>
      <c r="M366" s="612">
        <v>60</v>
      </c>
      <c r="N366" s="615">
        <f t="shared" si="22"/>
        <v>4130.4656666666669</v>
      </c>
      <c r="O366" s="616">
        <f t="shared" ca="1" si="23"/>
        <v>7</v>
      </c>
      <c r="P366" s="873">
        <f t="shared" ca="1" si="21"/>
        <v>218914.68033333332</v>
      </c>
      <c r="Q366" s="613" t="s">
        <v>6975</v>
      </c>
    </row>
    <row r="367" spans="2:17" ht="7.5" customHeight="1" x14ac:dyDescent="0.25">
      <c r="B367" s="630"/>
      <c r="C367" s="630"/>
      <c r="D367" s="875"/>
      <c r="F367" s="783"/>
      <c r="G367" s="783"/>
      <c r="H367" s="783"/>
      <c r="I367" s="783"/>
      <c r="J367" s="388"/>
      <c r="K367" s="876"/>
      <c r="L367" s="876"/>
      <c r="M367" s="621"/>
      <c r="N367" s="784"/>
      <c r="O367" s="785"/>
      <c r="P367" s="876"/>
      <c r="Q367" s="783"/>
    </row>
    <row r="368" spans="2:17" ht="6" customHeight="1" x14ac:dyDescent="0.25">
      <c r="B368" s="630"/>
      <c r="C368" s="630"/>
      <c r="D368" s="875"/>
      <c r="E368" s="783"/>
      <c r="F368" s="783"/>
      <c r="G368" s="783"/>
      <c r="H368" s="783"/>
      <c r="I368" s="783"/>
      <c r="J368" s="388"/>
      <c r="K368" s="876"/>
      <c r="L368" s="876"/>
      <c r="M368" s="621"/>
      <c r="N368" s="784"/>
      <c r="O368" s="785"/>
      <c r="P368" s="876"/>
      <c r="Q368" s="783"/>
    </row>
    <row r="369" spans="2:17" ht="15.75" x14ac:dyDescent="0.25">
      <c r="B369" s="736"/>
      <c r="C369" s="736"/>
      <c r="D369" s="737"/>
      <c r="E369" s="877"/>
      <c r="F369" s="1005" t="s">
        <v>2332</v>
      </c>
      <c r="G369" s="1005"/>
      <c r="H369" s="1005"/>
      <c r="I369" s="1005"/>
      <c r="J369" s="633">
        <f>SUM(J8:J366)</f>
        <v>100433476.65999995</v>
      </c>
      <c r="K369" s="633"/>
      <c r="L369" s="878">
        <f>SUM(L8:L366)</f>
        <v>1756174.0964660645</v>
      </c>
      <c r="M369" s="644"/>
      <c r="N369" s="644"/>
      <c r="O369" s="644"/>
      <c r="P369" s="633">
        <f ca="1">SUM(P8:P366)</f>
        <v>56763664.63683328</v>
      </c>
      <c r="Q369" s="644"/>
    </row>
    <row r="370" spans="2:17" ht="8.25" customHeight="1" x14ac:dyDescent="0.25">
      <c r="B370" s="736"/>
      <c r="C370" s="736"/>
      <c r="D370" s="737"/>
      <c r="E370" s="877"/>
      <c r="F370" s="872"/>
      <c r="G370" s="872"/>
      <c r="H370" s="872"/>
      <c r="I370" s="872"/>
      <c r="J370" s="879"/>
      <c r="K370" s="633"/>
      <c r="L370" s="878"/>
      <c r="M370" s="644"/>
      <c r="N370" s="644"/>
      <c r="O370" s="644"/>
      <c r="P370" s="633"/>
      <c r="Q370" s="644"/>
    </row>
    <row r="371" spans="2:17" ht="15.75" thickBot="1" x14ac:dyDescent="0.3">
      <c r="B371" s="630"/>
      <c r="C371" s="630"/>
      <c r="D371" s="621"/>
      <c r="G371" s="634"/>
      <c r="J371" s="880"/>
      <c r="K371" s="388"/>
      <c r="L371" s="388"/>
    </row>
    <row r="372" spans="2:17" ht="15.75" thickBot="1" x14ac:dyDescent="0.3">
      <c r="B372" s="630"/>
      <c r="C372" s="630"/>
      <c r="D372" s="621"/>
      <c r="G372" s="1001" t="s">
        <v>2333</v>
      </c>
      <c r="H372" s="1001"/>
      <c r="I372" s="1002"/>
      <c r="J372" s="880"/>
      <c r="K372" s="388"/>
      <c r="L372" s="388"/>
    </row>
    <row r="373" spans="2:17" ht="29.25" thickBot="1" x14ac:dyDescent="0.3">
      <c r="B373" s="630"/>
      <c r="C373" s="630"/>
      <c r="D373" s="621"/>
      <c r="G373" s="368"/>
      <c r="H373" s="369" t="s">
        <v>2334</v>
      </c>
      <c r="I373" s="369" t="s">
        <v>2335</v>
      </c>
      <c r="J373" s="881"/>
      <c r="K373" s="388"/>
      <c r="L373" s="388"/>
    </row>
    <row r="374" spans="2:17" ht="15.75" thickBot="1" x14ac:dyDescent="0.3">
      <c r="B374" s="630"/>
      <c r="C374" s="630"/>
      <c r="D374" s="621"/>
      <c r="G374" s="769" t="s">
        <v>2356</v>
      </c>
      <c r="H374" s="882">
        <f>SUM(J8:J221)</f>
        <v>48663619.019999996</v>
      </c>
      <c r="I374" s="882">
        <f>SUM(L8:L221)</f>
        <v>871895.15128297557</v>
      </c>
      <c r="J374" s="880"/>
      <c r="K374" s="388"/>
      <c r="L374" s="388"/>
    </row>
    <row r="375" spans="2:17" ht="15.75" thickBot="1" x14ac:dyDescent="0.3">
      <c r="B375" s="630"/>
      <c r="C375" s="630"/>
      <c r="D375" s="621"/>
      <c r="G375" s="769" t="s">
        <v>4317</v>
      </c>
      <c r="H375" s="882">
        <f>SUM(J222:J257)</f>
        <v>24059467.050000001</v>
      </c>
      <c r="I375" s="882">
        <f>SUM(L222:L257)</f>
        <v>417983.06462685083</v>
      </c>
      <c r="J375" s="880"/>
      <c r="K375" s="388"/>
      <c r="L375" s="388"/>
    </row>
    <row r="376" spans="2:17" ht="15.75" thickBot="1" x14ac:dyDescent="0.3">
      <c r="B376" s="630"/>
      <c r="C376" s="630"/>
      <c r="G376" s="769" t="s">
        <v>4882</v>
      </c>
      <c r="H376" s="882">
        <f>SUM(J258:J366)</f>
        <v>27710390.590000015</v>
      </c>
      <c r="I376" s="882">
        <f>SUM(L258:L366)</f>
        <v>466295.88055623713</v>
      </c>
      <c r="J376" s="880"/>
      <c r="K376" s="388"/>
      <c r="L376" s="388"/>
    </row>
    <row r="377" spans="2:17" ht="15.75" thickBot="1" x14ac:dyDescent="0.3">
      <c r="B377" s="630"/>
      <c r="C377" s="630"/>
      <c r="G377" s="429" t="s">
        <v>2357</v>
      </c>
      <c r="H377" s="430">
        <f>SUM(H374:H376)</f>
        <v>100433476.66000001</v>
      </c>
      <c r="I377" s="430">
        <f>SUM(I374:I376)</f>
        <v>1756174.0964660635</v>
      </c>
      <c r="J377" s="880"/>
      <c r="K377" s="388"/>
      <c r="L377" s="388"/>
    </row>
    <row r="378" spans="2:17" x14ac:dyDescent="0.25">
      <c r="B378" s="630"/>
      <c r="C378" s="630"/>
      <c r="G378" s="621"/>
      <c r="J378" s="880"/>
      <c r="K378" s="388"/>
      <c r="L378" s="388"/>
    </row>
    <row r="379" spans="2:17" x14ac:dyDescent="0.25">
      <c r="B379" s="422" t="s">
        <v>4867</v>
      </c>
      <c r="C379" s="422"/>
      <c r="M379" s="324"/>
      <c r="N379" s="511" t="s">
        <v>4875</v>
      </c>
      <c r="O379" s="509"/>
    </row>
    <row r="380" spans="2:17" x14ac:dyDescent="0.25">
      <c r="B380" s="419"/>
      <c r="C380" s="419"/>
      <c r="M380" s="324"/>
      <c r="N380" s="511"/>
      <c r="O380" s="509"/>
    </row>
    <row r="381" spans="2:17" x14ac:dyDescent="0.25">
      <c r="B381" s="423" t="s">
        <v>2358</v>
      </c>
      <c r="C381" s="423"/>
      <c r="F381" s="1003" t="s">
        <v>2359</v>
      </c>
      <c r="G381" s="1003"/>
      <c r="J381" s="977" t="s">
        <v>2360</v>
      </c>
      <c r="K381" s="977"/>
      <c r="L381" s="977"/>
      <c r="M381" s="977"/>
      <c r="N381" s="128"/>
      <c r="O381" s="128"/>
    </row>
    <row r="382" spans="2:17" x14ac:dyDescent="0.25">
      <c r="B382" s="424"/>
      <c r="C382" s="424"/>
      <c r="F382" s="373"/>
      <c r="G382" s="373"/>
      <c r="L382" s="120"/>
      <c r="M382" s="120"/>
      <c r="N382" s="120"/>
      <c r="O382" s="120"/>
    </row>
    <row r="383" spans="2:17" x14ac:dyDescent="0.25">
      <c r="B383" s="419"/>
      <c r="C383" s="419"/>
      <c r="F383" s="374"/>
      <c r="L383" s="120"/>
      <c r="M383" s="120"/>
      <c r="N383" s="120"/>
      <c r="O383" s="120"/>
    </row>
    <row r="384" spans="2:17" x14ac:dyDescent="0.25">
      <c r="B384" s="425" t="s">
        <v>2361</v>
      </c>
      <c r="C384" s="425"/>
      <c r="E384" s="883"/>
      <c r="F384" s="884"/>
      <c r="G384" s="885"/>
      <c r="H384" t="s">
        <v>6956</v>
      </c>
      <c r="J384" s="886" t="s">
        <v>6957</v>
      </c>
      <c r="L384" s="887" t="s">
        <v>6958</v>
      </c>
      <c r="M384" s="324"/>
      <c r="N384" s="511"/>
      <c r="O384" s="509"/>
    </row>
    <row r="385" spans="2:15" x14ac:dyDescent="0.25">
      <c r="B385" s="869" t="s">
        <v>4880</v>
      </c>
      <c r="C385" s="419"/>
      <c r="E385" s="888"/>
      <c r="F385" s="889" t="s">
        <v>4878</v>
      </c>
      <c r="H385" s="890" t="s">
        <v>2363</v>
      </c>
      <c r="I385" s="321"/>
      <c r="J385" s="891" t="s">
        <v>5841</v>
      </c>
      <c r="K385" s="667"/>
      <c r="L385" s="669" t="s">
        <v>4871</v>
      </c>
      <c r="M385" s="666"/>
      <c r="N385" s="511"/>
      <c r="O385" s="509"/>
    </row>
    <row r="386" spans="2:15" ht="22.5" customHeight="1" x14ac:dyDescent="0.25">
      <c r="B386" s="794" t="s">
        <v>4881</v>
      </c>
      <c r="C386" s="419"/>
      <c r="E386" s="892"/>
      <c r="F386" s="427" t="s">
        <v>4879</v>
      </c>
      <c r="H386" s="1004" t="s">
        <v>2364</v>
      </c>
      <c r="I386" s="1004"/>
      <c r="J386" s="893" t="s">
        <v>2645</v>
      </c>
      <c r="K386" s="668"/>
      <c r="L386" s="894" t="s">
        <v>4872</v>
      </c>
      <c r="M386" s="657"/>
      <c r="N386" s="511"/>
      <c r="O386" s="509"/>
    </row>
    <row r="387" spans="2:15" x14ac:dyDescent="0.25">
      <c r="B387" s="423" t="s">
        <v>6387</v>
      </c>
      <c r="C387" s="423"/>
      <c r="D387" s="378"/>
      <c r="H387" s="379"/>
      <c r="I387" s="379"/>
      <c r="M387" s="324"/>
      <c r="N387" s="511"/>
      <c r="O387" s="509"/>
    </row>
    <row r="388" spans="2:15" x14ac:dyDescent="0.25">
      <c r="B388" s="419"/>
      <c r="C388" s="419"/>
      <c r="M388" s="324"/>
      <c r="N388" s="511"/>
      <c r="O388" s="509"/>
    </row>
    <row r="389" spans="2:15" x14ac:dyDescent="0.25">
      <c r="B389" s="419"/>
      <c r="C389" s="419"/>
      <c r="M389" s="324"/>
      <c r="N389" s="511"/>
      <c r="O389" s="509"/>
    </row>
    <row r="390" spans="2:15" x14ac:dyDescent="0.25">
      <c r="B390" s="422" t="s">
        <v>4868</v>
      </c>
      <c r="C390" s="422"/>
      <c r="L390" t="s">
        <v>4866</v>
      </c>
      <c r="M390" s="324"/>
      <c r="N390" s="511"/>
      <c r="O390" s="509"/>
    </row>
    <row r="391" spans="2:15" x14ac:dyDescent="0.25">
      <c r="B391" s="630"/>
      <c r="C391" s="630"/>
      <c r="G391" s="621"/>
      <c r="J391" s="880"/>
      <c r="K391" s="388"/>
      <c r="L391" s="388"/>
    </row>
  </sheetData>
  <mergeCells count="6">
    <mergeCell ref="F5:N5"/>
    <mergeCell ref="G372:I372"/>
    <mergeCell ref="F381:G381"/>
    <mergeCell ref="J381:M381"/>
    <mergeCell ref="H386:I386"/>
    <mergeCell ref="F369:I369"/>
  </mergeCells>
  <phoneticPr fontId="90" type="noConversion"/>
  <pageMargins left="0.70866141732283472" right="0.70866141732283472" top="0.74803149606299213" bottom="0.74803149606299213" header="0.31496062992125984" footer="0.31496062992125984"/>
  <pageSetup scale="50" orientation="landscape" r:id="rId1"/>
  <headerFooter>
    <oddFooter>&amp;CPág. &amp;P - 10</oddFooter>
  </headerFooter>
  <rowBreaks count="9" manualBreakCount="9">
    <brk id="29" max="16383" man="1"/>
    <brk id="60" max="16383" man="1"/>
    <brk id="87" max="16383" man="1"/>
    <brk id="111" max="16383" man="1"/>
    <brk id="140" max="17" man="1"/>
    <brk id="166" max="16383" man="1"/>
    <brk id="193" max="16383" man="1"/>
    <brk id="210" max="16383" man="1"/>
    <brk id="223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H405"/>
  <sheetViews>
    <sheetView topLeftCell="A82" zoomScaleNormal="100" workbookViewId="0">
      <selection activeCell="K7" sqref="K7"/>
    </sheetView>
  </sheetViews>
  <sheetFormatPr baseColWidth="10" defaultRowHeight="15" x14ac:dyDescent="0.25"/>
  <cols>
    <col min="2" max="2" width="13.85546875" customWidth="1"/>
    <col min="3" max="3" width="13.7109375" customWidth="1"/>
    <col min="4" max="4" width="17.85546875" customWidth="1"/>
    <col min="5" max="5" width="14.5703125" customWidth="1"/>
    <col min="6" max="6" width="16.140625" customWidth="1"/>
    <col min="7" max="7" width="18.140625" customWidth="1"/>
    <col min="8" max="8" width="14.28515625" customWidth="1"/>
  </cols>
  <sheetData>
    <row r="4" spans="1:8" ht="28.5" x14ac:dyDescent="0.25">
      <c r="A4" s="329" t="s">
        <v>2</v>
      </c>
      <c r="B4" s="330" t="s">
        <v>3</v>
      </c>
      <c r="C4" s="331" t="s">
        <v>4</v>
      </c>
      <c r="D4" s="332" t="s">
        <v>5</v>
      </c>
      <c r="E4" s="331" t="s">
        <v>6</v>
      </c>
      <c r="F4" s="330" t="s">
        <v>7</v>
      </c>
      <c r="G4" s="333" t="s">
        <v>8</v>
      </c>
      <c r="H4" s="342" t="s">
        <v>9</v>
      </c>
    </row>
    <row r="5" spans="1:8" ht="38.25" x14ac:dyDescent="0.25">
      <c r="A5" s="355">
        <v>44622</v>
      </c>
      <c r="B5" s="336" t="s">
        <v>1728</v>
      </c>
      <c r="C5" s="336" t="s">
        <v>1729</v>
      </c>
      <c r="D5" s="351" t="s">
        <v>1730</v>
      </c>
      <c r="E5" s="336" t="s">
        <v>1731</v>
      </c>
      <c r="F5" s="336" t="s">
        <v>1732</v>
      </c>
      <c r="G5" s="352" t="s">
        <v>19</v>
      </c>
      <c r="H5" s="354">
        <v>194995.01</v>
      </c>
    </row>
    <row r="6" spans="1:8" ht="38.25" x14ac:dyDescent="0.25">
      <c r="A6" s="355">
        <v>44622</v>
      </c>
      <c r="B6" s="336" t="s">
        <v>1728</v>
      </c>
      <c r="C6" s="336" t="s">
        <v>1733</v>
      </c>
      <c r="D6" s="351" t="s">
        <v>1730</v>
      </c>
      <c r="E6" s="361" t="s">
        <v>1734</v>
      </c>
      <c r="F6" s="336" t="s">
        <v>1735</v>
      </c>
      <c r="G6" s="352" t="s">
        <v>19</v>
      </c>
      <c r="H6" s="354">
        <v>194995.01</v>
      </c>
    </row>
    <row r="7" spans="1:8" ht="38.25" x14ac:dyDescent="0.25">
      <c r="A7" s="355">
        <v>44622</v>
      </c>
      <c r="B7" s="336" t="s">
        <v>1728</v>
      </c>
      <c r="C7" s="336" t="s">
        <v>1736</v>
      </c>
      <c r="D7" s="351" t="s">
        <v>1737</v>
      </c>
      <c r="E7" s="336" t="s">
        <v>1738</v>
      </c>
      <c r="F7" s="336" t="s">
        <v>1739</v>
      </c>
      <c r="G7" s="352" t="s">
        <v>19</v>
      </c>
      <c r="H7" s="354">
        <v>100840.01</v>
      </c>
    </row>
    <row r="8" spans="1:8" ht="38.25" x14ac:dyDescent="0.25">
      <c r="A8" s="355">
        <v>44622</v>
      </c>
      <c r="B8" s="336" t="s">
        <v>1728</v>
      </c>
      <c r="C8" s="336" t="s">
        <v>1740</v>
      </c>
      <c r="D8" s="351" t="s">
        <v>1737</v>
      </c>
      <c r="E8" s="336" t="s">
        <v>1741</v>
      </c>
      <c r="F8" s="361" t="s">
        <v>1742</v>
      </c>
      <c r="G8" s="352" t="s">
        <v>19</v>
      </c>
      <c r="H8" s="354">
        <v>100840.01</v>
      </c>
    </row>
    <row r="9" spans="1:8" ht="38.25" x14ac:dyDescent="0.25">
      <c r="A9" s="355">
        <v>44622</v>
      </c>
      <c r="B9" s="336" t="s">
        <v>1728</v>
      </c>
      <c r="C9" s="336" t="s">
        <v>1743</v>
      </c>
      <c r="D9" s="351" t="s">
        <v>1744</v>
      </c>
      <c r="E9" s="336" t="s">
        <v>1745</v>
      </c>
      <c r="F9" s="336" t="s">
        <v>1746</v>
      </c>
      <c r="G9" s="352" t="s">
        <v>19</v>
      </c>
      <c r="H9" s="354">
        <v>54474.99</v>
      </c>
    </row>
    <row r="10" spans="1:8" ht="38.25" x14ac:dyDescent="0.25">
      <c r="A10" s="355">
        <v>44622</v>
      </c>
      <c r="B10" s="336" t="s">
        <v>1728</v>
      </c>
      <c r="C10" s="336" t="s">
        <v>1747</v>
      </c>
      <c r="D10" s="351" t="s">
        <v>1744</v>
      </c>
      <c r="E10" s="336" t="s">
        <v>1748</v>
      </c>
      <c r="F10" s="336" t="s">
        <v>1749</v>
      </c>
      <c r="G10" s="352" t="s">
        <v>19</v>
      </c>
      <c r="H10" s="354">
        <v>54474.99</v>
      </c>
    </row>
    <row r="11" spans="1:8" ht="38.25" x14ac:dyDescent="0.25">
      <c r="A11" s="355">
        <v>44622</v>
      </c>
      <c r="B11" s="336" t="s">
        <v>1728</v>
      </c>
      <c r="C11" s="336" t="s">
        <v>1750</v>
      </c>
      <c r="D11" s="351" t="s">
        <v>1744</v>
      </c>
      <c r="E11" s="336" t="s">
        <v>1751</v>
      </c>
      <c r="F11" s="336" t="s">
        <v>1752</v>
      </c>
      <c r="G11" s="352" t="s">
        <v>19</v>
      </c>
      <c r="H11" s="354">
        <v>54474.99</v>
      </c>
    </row>
    <row r="12" spans="1:8" ht="38.25" x14ac:dyDescent="0.25">
      <c r="A12" s="355">
        <v>44622</v>
      </c>
      <c r="B12" s="336" t="s">
        <v>1728</v>
      </c>
      <c r="C12" s="336" t="s">
        <v>1753</v>
      </c>
      <c r="D12" s="351" t="s">
        <v>1744</v>
      </c>
      <c r="E12" s="336" t="s">
        <v>1754</v>
      </c>
      <c r="F12" s="336" t="s">
        <v>1755</v>
      </c>
      <c r="G12" s="352" t="s">
        <v>19</v>
      </c>
      <c r="H12" s="354">
        <v>54474.99</v>
      </c>
    </row>
    <row r="13" spans="1:8" ht="25.5" x14ac:dyDescent="0.25">
      <c r="A13" s="408">
        <v>44631</v>
      </c>
      <c r="B13" s="409" t="s">
        <v>1728</v>
      </c>
      <c r="C13" s="409" t="s">
        <v>1756</v>
      </c>
      <c r="D13" s="410" t="s">
        <v>1757</v>
      </c>
      <c r="E13" s="409" t="s">
        <v>1758</v>
      </c>
      <c r="F13" s="409" t="s">
        <v>1759</v>
      </c>
      <c r="G13" s="411" t="s">
        <v>19</v>
      </c>
      <c r="H13" s="412">
        <v>179520.99</v>
      </c>
    </row>
    <row r="14" spans="1:8" ht="25.5" x14ac:dyDescent="0.25">
      <c r="A14" s="408">
        <v>44631</v>
      </c>
      <c r="B14" s="409" t="s">
        <v>1728</v>
      </c>
      <c r="C14" s="409" t="s">
        <v>1760</v>
      </c>
      <c r="D14" s="410" t="s">
        <v>1757</v>
      </c>
      <c r="E14" s="409" t="s">
        <v>1761</v>
      </c>
      <c r="F14" s="409" t="s">
        <v>1762</v>
      </c>
      <c r="G14" s="411" t="s">
        <v>19</v>
      </c>
      <c r="H14" s="412">
        <v>179520.99</v>
      </c>
    </row>
    <row r="15" spans="1:8" ht="51" x14ac:dyDescent="0.25">
      <c r="A15" s="355">
        <v>44631</v>
      </c>
      <c r="B15" s="336" t="s">
        <v>1763</v>
      </c>
      <c r="C15" s="336" t="s">
        <v>1764</v>
      </c>
      <c r="D15" s="351" t="s">
        <v>1757</v>
      </c>
      <c r="E15" s="336" t="s">
        <v>1765</v>
      </c>
      <c r="F15" s="336" t="s">
        <v>1766</v>
      </c>
      <c r="G15" s="352" t="s">
        <v>19</v>
      </c>
      <c r="H15" s="354">
        <v>179520.99</v>
      </c>
    </row>
    <row r="16" spans="1:8" ht="51" x14ac:dyDescent="0.25">
      <c r="A16" s="355">
        <v>44631</v>
      </c>
      <c r="B16" s="336" t="s">
        <v>1763</v>
      </c>
      <c r="C16" s="336" t="s">
        <v>1768</v>
      </c>
      <c r="D16" s="351" t="s">
        <v>1757</v>
      </c>
      <c r="E16" s="336" t="s">
        <v>1769</v>
      </c>
      <c r="F16" s="361" t="s">
        <v>1770</v>
      </c>
      <c r="G16" s="352" t="s">
        <v>19</v>
      </c>
      <c r="H16" s="354">
        <v>179520.99</v>
      </c>
    </row>
    <row r="17" spans="1:8" ht="38.25" x14ac:dyDescent="0.25">
      <c r="A17" s="355">
        <v>44631</v>
      </c>
      <c r="B17" s="336" t="s">
        <v>1763</v>
      </c>
      <c r="C17" s="336" t="s">
        <v>1771</v>
      </c>
      <c r="D17" s="351" t="s">
        <v>1757</v>
      </c>
      <c r="E17" s="336" t="s">
        <v>1772</v>
      </c>
      <c r="F17" s="336" t="s">
        <v>1773</v>
      </c>
      <c r="G17" s="352" t="s">
        <v>19</v>
      </c>
      <c r="H17" s="354">
        <v>179520.99</v>
      </c>
    </row>
    <row r="18" spans="1:8" ht="38.25" x14ac:dyDescent="0.25">
      <c r="A18" s="408">
        <v>44631</v>
      </c>
      <c r="B18" s="409" t="s">
        <v>1763</v>
      </c>
      <c r="C18" s="409" t="s">
        <v>1774</v>
      </c>
      <c r="D18" s="410" t="s">
        <v>1757</v>
      </c>
      <c r="E18" s="409" t="s">
        <v>1775</v>
      </c>
      <c r="F18" s="413" t="s">
        <v>1776</v>
      </c>
      <c r="G18" s="411" t="s">
        <v>19</v>
      </c>
      <c r="H18" s="412">
        <v>179520.99</v>
      </c>
    </row>
    <row r="19" spans="1:8" ht="51" x14ac:dyDescent="0.25">
      <c r="A19" s="355">
        <v>44631</v>
      </c>
      <c r="B19" s="336" t="s">
        <v>1763</v>
      </c>
      <c r="C19" s="336" t="s">
        <v>1777</v>
      </c>
      <c r="D19" s="351" t="s">
        <v>1757</v>
      </c>
      <c r="E19" s="336" t="s">
        <v>1778</v>
      </c>
      <c r="F19" s="336" t="s">
        <v>1779</v>
      </c>
      <c r="G19" s="352" t="s">
        <v>19</v>
      </c>
      <c r="H19" s="354">
        <v>179520.99</v>
      </c>
    </row>
    <row r="20" spans="1:8" ht="25.5" x14ac:dyDescent="0.25">
      <c r="A20" s="355">
        <v>44631</v>
      </c>
      <c r="B20" s="336" t="s">
        <v>1763</v>
      </c>
      <c r="C20" s="336" t="s">
        <v>1780</v>
      </c>
      <c r="D20" s="351" t="s">
        <v>1757</v>
      </c>
      <c r="E20" s="336" t="s">
        <v>1781</v>
      </c>
      <c r="F20" s="336" t="s">
        <v>1782</v>
      </c>
      <c r="G20" s="352" t="s">
        <v>19</v>
      </c>
      <c r="H20" s="354">
        <v>179520.99</v>
      </c>
    </row>
    <row r="21" spans="1:8" ht="38.25" x14ac:dyDescent="0.25">
      <c r="A21" s="355">
        <v>44631</v>
      </c>
      <c r="B21" s="336" t="s">
        <v>1763</v>
      </c>
      <c r="C21" s="336" t="s">
        <v>1783</v>
      </c>
      <c r="D21" s="351" t="s">
        <v>1757</v>
      </c>
      <c r="E21" s="336" t="s">
        <v>1784</v>
      </c>
      <c r="F21" s="336" t="s">
        <v>1785</v>
      </c>
      <c r="G21" s="352" t="s">
        <v>19</v>
      </c>
      <c r="H21" s="354">
        <v>179520.99</v>
      </c>
    </row>
    <row r="22" spans="1:8" ht="38.25" x14ac:dyDescent="0.25">
      <c r="A22" s="355">
        <v>44631</v>
      </c>
      <c r="B22" s="336" t="s">
        <v>1763</v>
      </c>
      <c r="C22" s="336" t="s">
        <v>1786</v>
      </c>
      <c r="D22" s="351" t="s">
        <v>1757</v>
      </c>
      <c r="E22" s="336" t="s">
        <v>1787</v>
      </c>
      <c r="F22" s="336" t="s">
        <v>1788</v>
      </c>
      <c r="G22" s="352" t="s">
        <v>19</v>
      </c>
      <c r="H22" s="354">
        <v>179520.99</v>
      </c>
    </row>
    <row r="23" spans="1:8" ht="51" x14ac:dyDescent="0.25">
      <c r="A23" s="355">
        <v>44631</v>
      </c>
      <c r="B23" s="336" t="s">
        <v>1763</v>
      </c>
      <c r="C23" s="336" t="s">
        <v>1789</v>
      </c>
      <c r="D23" s="351" t="s">
        <v>1757</v>
      </c>
      <c r="E23" s="336" t="s">
        <v>1790</v>
      </c>
      <c r="F23" s="336" t="s">
        <v>1791</v>
      </c>
      <c r="G23" s="352" t="s">
        <v>19</v>
      </c>
      <c r="H23" s="354">
        <v>179520.99</v>
      </c>
    </row>
    <row r="24" spans="1:8" ht="76.5" x14ac:dyDescent="0.25">
      <c r="A24" s="414">
        <v>44812</v>
      </c>
      <c r="B24" s="415" t="s">
        <v>1792</v>
      </c>
      <c r="C24" s="415" t="s">
        <v>1793</v>
      </c>
      <c r="D24" s="416" t="s">
        <v>1794</v>
      </c>
      <c r="E24" s="415" t="s">
        <v>1795</v>
      </c>
      <c r="F24" s="415" t="s">
        <v>1796</v>
      </c>
      <c r="G24" s="417" t="s">
        <v>1594</v>
      </c>
      <c r="H24" s="418">
        <v>66039.88</v>
      </c>
    </row>
    <row r="25" spans="1:8" ht="76.5" x14ac:dyDescent="0.25">
      <c r="A25" s="414">
        <v>44812</v>
      </c>
      <c r="B25" s="415" t="s">
        <v>1792</v>
      </c>
      <c r="C25" s="415" t="s">
        <v>1797</v>
      </c>
      <c r="D25" s="416" t="s">
        <v>1798</v>
      </c>
      <c r="E25" s="415" t="s">
        <v>1799</v>
      </c>
      <c r="F25" s="415" t="s">
        <v>1796</v>
      </c>
      <c r="G25" s="417" t="s">
        <v>1594</v>
      </c>
      <c r="H25" s="418">
        <v>66039.88</v>
      </c>
    </row>
    <row r="26" spans="1:8" ht="76.5" x14ac:dyDescent="0.25">
      <c r="A26" s="414">
        <v>44812</v>
      </c>
      <c r="B26" s="415" t="s">
        <v>1792</v>
      </c>
      <c r="C26" s="415" t="s">
        <v>1800</v>
      </c>
      <c r="D26" s="416" t="s">
        <v>1798</v>
      </c>
      <c r="E26" s="415" t="s">
        <v>1801</v>
      </c>
      <c r="F26" s="415" t="s">
        <v>1796</v>
      </c>
      <c r="G26" s="417" t="s">
        <v>1594</v>
      </c>
      <c r="H26" s="418">
        <v>66039.88</v>
      </c>
    </row>
    <row r="27" spans="1:8" ht="76.5" x14ac:dyDescent="0.25">
      <c r="A27" s="414">
        <v>44812</v>
      </c>
      <c r="B27" s="415" t="s">
        <v>1792</v>
      </c>
      <c r="C27" s="415" t="s">
        <v>1802</v>
      </c>
      <c r="D27" s="416" t="s">
        <v>1798</v>
      </c>
      <c r="E27" s="415" t="s">
        <v>1803</v>
      </c>
      <c r="F27" s="415" t="s">
        <v>1796</v>
      </c>
      <c r="G27" s="417" t="s">
        <v>1594</v>
      </c>
      <c r="H27" s="418">
        <v>66039.88</v>
      </c>
    </row>
    <row r="28" spans="1:8" ht="76.5" x14ac:dyDescent="0.25">
      <c r="A28" s="414">
        <v>44812</v>
      </c>
      <c r="B28" s="415" t="s">
        <v>1792</v>
      </c>
      <c r="C28" s="415" t="s">
        <v>1804</v>
      </c>
      <c r="D28" s="416" t="s">
        <v>1798</v>
      </c>
      <c r="E28" s="415" t="s">
        <v>1805</v>
      </c>
      <c r="F28" s="415" t="s">
        <v>1796</v>
      </c>
      <c r="G28" s="417" t="s">
        <v>1594</v>
      </c>
      <c r="H28" s="418">
        <v>66039.88</v>
      </c>
    </row>
    <row r="29" spans="1:8" ht="76.5" x14ac:dyDescent="0.25">
      <c r="A29" s="414">
        <v>44812</v>
      </c>
      <c r="B29" s="415" t="s">
        <v>1792</v>
      </c>
      <c r="C29" s="415" t="s">
        <v>1806</v>
      </c>
      <c r="D29" s="416" t="s">
        <v>1798</v>
      </c>
      <c r="E29" s="415" t="s">
        <v>1807</v>
      </c>
      <c r="F29" s="415" t="s">
        <v>1796</v>
      </c>
      <c r="G29" s="417" t="s">
        <v>1594</v>
      </c>
      <c r="H29" s="418">
        <v>66039.88</v>
      </c>
    </row>
    <row r="30" spans="1:8" ht="76.5" x14ac:dyDescent="0.25">
      <c r="A30" s="414">
        <v>44812</v>
      </c>
      <c r="B30" s="415" t="s">
        <v>1792</v>
      </c>
      <c r="C30" s="415" t="s">
        <v>1808</v>
      </c>
      <c r="D30" s="416" t="s">
        <v>1798</v>
      </c>
      <c r="E30" s="415" t="s">
        <v>1809</v>
      </c>
      <c r="F30" s="415" t="s">
        <v>1796</v>
      </c>
      <c r="G30" s="417" t="s">
        <v>1594</v>
      </c>
      <c r="H30" s="418">
        <v>66039.88</v>
      </c>
    </row>
    <row r="31" spans="1:8" ht="76.5" x14ac:dyDescent="0.25">
      <c r="A31" s="414">
        <v>44812</v>
      </c>
      <c r="B31" s="415" t="s">
        <v>1792</v>
      </c>
      <c r="C31" s="415" t="s">
        <v>1810</v>
      </c>
      <c r="D31" s="416" t="s">
        <v>1798</v>
      </c>
      <c r="E31" s="415" t="s">
        <v>1811</v>
      </c>
      <c r="F31" s="415" t="s">
        <v>1796</v>
      </c>
      <c r="G31" s="417" t="s">
        <v>1594</v>
      </c>
      <c r="H31" s="418">
        <v>66039.88</v>
      </c>
    </row>
    <row r="32" spans="1:8" ht="76.5" x14ac:dyDescent="0.25">
      <c r="A32" s="414">
        <v>44812</v>
      </c>
      <c r="B32" s="415" t="s">
        <v>1792</v>
      </c>
      <c r="C32" s="415" t="s">
        <v>1812</v>
      </c>
      <c r="D32" s="416" t="s">
        <v>1798</v>
      </c>
      <c r="E32" s="415" t="s">
        <v>1813</v>
      </c>
      <c r="F32" s="415" t="s">
        <v>1796</v>
      </c>
      <c r="G32" s="417" t="s">
        <v>1594</v>
      </c>
      <c r="H32" s="418">
        <v>66039.88</v>
      </c>
    </row>
    <row r="33" spans="1:8" ht="76.5" x14ac:dyDescent="0.25">
      <c r="A33" s="414">
        <v>44812</v>
      </c>
      <c r="B33" s="415" t="s">
        <v>1792</v>
      </c>
      <c r="C33" s="415" t="s">
        <v>1814</v>
      </c>
      <c r="D33" s="416" t="s">
        <v>1798</v>
      </c>
      <c r="E33" s="415" t="s">
        <v>1815</v>
      </c>
      <c r="F33" s="415" t="s">
        <v>1796</v>
      </c>
      <c r="G33" s="417" t="s">
        <v>1594</v>
      </c>
      <c r="H33" s="418">
        <v>66039.88</v>
      </c>
    </row>
    <row r="34" spans="1:8" ht="76.5" x14ac:dyDescent="0.25">
      <c r="A34" s="414">
        <v>44812</v>
      </c>
      <c r="B34" s="415" t="s">
        <v>1792</v>
      </c>
      <c r="C34" s="415" t="s">
        <v>1816</v>
      </c>
      <c r="D34" s="416" t="s">
        <v>1798</v>
      </c>
      <c r="E34" s="415" t="s">
        <v>1817</v>
      </c>
      <c r="F34" s="415" t="s">
        <v>1796</v>
      </c>
      <c r="G34" s="417" t="s">
        <v>1594</v>
      </c>
      <c r="H34" s="418">
        <v>66039.88</v>
      </c>
    </row>
    <row r="35" spans="1:8" ht="76.5" x14ac:dyDescent="0.25">
      <c r="A35" s="414">
        <v>44812</v>
      </c>
      <c r="B35" s="415" t="s">
        <v>1792</v>
      </c>
      <c r="C35" s="415" t="s">
        <v>1818</v>
      </c>
      <c r="D35" s="416" t="s">
        <v>1798</v>
      </c>
      <c r="E35" s="415" t="s">
        <v>1819</v>
      </c>
      <c r="F35" s="415" t="s">
        <v>1796</v>
      </c>
      <c r="G35" s="417" t="s">
        <v>1594</v>
      </c>
      <c r="H35" s="418">
        <v>66039.88</v>
      </c>
    </row>
    <row r="36" spans="1:8" ht="76.5" x14ac:dyDescent="0.25">
      <c r="A36" s="414">
        <v>44812</v>
      </c>
      <c r="B36" s="415" t="s">
        <v>1792</v>
      </c>
      <c r="C36" s="415" t="s">
        <v>1820</v>
      </c>
      <c r="D36" s="416" t="s">
        <v>1798</v>
      </c>
      <c r="E36" s="415" t="s">
        <v>1821</v>
      </c>
      <c r="F36" s="415" t="s">
        <v>1796</v>
      </c>
      <c r="G36" s="417" t="s">
        <v>1594</v>
      </c>
      <c r="H36" s="418">
        <v>66039.88</v>
      </c>
    </row>
    <row r="37" spans="1:8" ht="76.5" x14ac:dyDescent="0.25">
      <c r="A37" s="414">
        <v>44812</v>
      </c>
      <c r="B37" s="415" t="s">
        <v>1792</v>
      </c>
      <c r="C37" s="415" t="s">
        <v>1822</v>
      </c>
      <c r="D37" s="416" t="s">
        <v>1798</v>
      </c>
      <c r="E37" s="415" t="s">
        <v>1823</v>
      </c>
      <c r="F37" s="415" t="s">
        <v>1796</v>
      </c>
      <c r="G37" s="417" t="s">
        <v>1594</v>
      </c>
      <c r="H37" s="418">
        <v>66039.88</v>
      </c>
    </row>
    <row r="38" spans="1:8" ht="76.5" x14ac:dyDescent="0.25">
      <c r="A38" s="414">
        <v>44812</v>
      </c>
      <c r="B38" s="415" t="s">
        <v>1792</v>
      </c>
      <c r="C38" s="415" t="s">
        <v>1824</v>
      </c>
      <c r="D38" s="416" t="s">
        <v>1798</v>
      </c>
      <c r="E38" s="415" t="s">
        <v>1825</v>
      </c>
      <c r="F38" s="415" t="s">
        <v>1796</v>
      </c>
      <c r="G38" s="417" t="s">
        <v>1594</v>
      </c>
      <c r="H38" s="418">
        <v>66039.88</v>
      </c>
    </row>
    <row r="39" spans="1:8" ht="76.5" x14ac:dyDescent="0.25">
      <c r="A39" s="414">
        <v>44812</v>
      </c>
      <c r="B39" s="415" t="s">
        <v>1792</v>
      </c>
      <c r="C39" s="415" t="s">
        <v>1826</v>
      </c>
      <c r="D39" s="416" t="s">
        <v>1798</v>
      </c>
      <c r="E39" s="415" t="s">
        <v>1827</v>
      </c>
      <c r="F39" s="415" t="s">
        <v>1796</v>
      </c>
      <c r="G39" s="417" t="s">
        <v>1594</v>
      </c>
      <c r="H39" s="418">
        <v>66039.88</v>
      </c>
    </row>
    <row r="40" spans="1:8" ht="76.5" x14ac:dyDescent="0.25">
      <c r="A40" s="414">
        <v>44812</v>
      </c>
      <c r="B40" s="415" t="s">
        <v>1792</v>
      </c>
      <c r="C40" s="415" t="s">
        <v>1828</v>
      </c>
      <c r="D40" s="416" t="s">
        <v>1798</v>
      </c>
      <c r="E40" s="415" t="s">
        <v>1829</v>
      </c>
      <c r="F40" s="415" t="s">
        <v>1796</v>
      </c>
      <c r="G40" s="417" t="s">
        <v>1594</v>
      </c>
      <c r="H40" s="418">
        <v>66039.88</v>
      </c>
    </row>
    <row r="41" spans="1:8" ht="76.5" x14ac:dyDescent="0.25">
      <c r="A41" s="414">
        <v>44812</v>
      </c>
      <c r="B41" s="415" t="s">
        <v>1792</v>
      </c>
      <c r="C41" s="415" t="s">
        <v>1830</v>
      </c>
      <c r="D41" s="416" t="s">
        <v>1798</v>
      </c>
      <c r="E41" s="415" t="s">
        <v>1831</v>
      </c>
      <c r="F41" s="415" t="s">
        <v>1796</v>
      </c>
      <c r="G41" s="417" t="s">
        <v>1594</v>
      </c>
      <c r="H41" s="418">
        <v>66039.88</v>
      </c>
    </row>
    <row r="42" spans="1:8" ht="76.5" x14ac:dyDescent="0.25">
      <c r="A42" s="414">
        <v>44812</v>
      </c>
      <c r="B42" s="415" t="s">
        <v>1792</v>
      </c>
      <c r="C42" s="415" t="s">
        <v>1832</v>
      </c>
      <c r="D42" s="416" t="s">
        <v>1798</v>
      </c>
      <c r="E42" s="415" t="s">
        <v>1833</v>
      </c>
      <c r="F42" s="415" t="s">
        <v>1796</v>
      </c>
      <c r="G42" s="417" t="s">
        <v>1594</v>
      </c>
      <c r="H42" s="418">
        <v>66039.88</v>
      </c>
    </row>
    <row r="43" spans="1:8" ht="76.5" x14ac:dyDescent="0.25">
      <c r="A43" s="414">
        <v>44812</v>
      </c>
      <c r="B43" s="415" t="s">
        <v>1792</v>
      </c>
      <c r="C43" s="415" t="s">
        <v>1834</v>
      </c>
      <c r="D43" s="416" t="s">
        <v>1835</v>
      </c>
      <c r="E43" s="415" t="s">
        <v>1836</v>
      </c>
      <c r="F43" s="415" t="s">
        <v>1796</v>
      </c>
      <c r="G43" s="417" t="s">
        <v>1594</v>
      </c>
      <c r="H43" s="418">
        <v>4498.16</v>
      </c>
    </row>
    <row r="44" spans="1:8" ht="76.5" x14ac:dyDescent="0.25">
      <c r="A44" s="414">
        <v>44812</v>
      </c>
      <c r="B44" s="415" t="s">
        <v>1792</v>
      </c>
      <c r="C44" s="415" t="s">
        <v>1837</v>
      </c>
      <c r="D44" s="416" t="s">
        <v>1835</v>
      </c>
      <c r="E44" s="415" t="s">
        <v>1838</v>
      </c>
      <c r="F44" s="415" t="s">
        <v>1796</v>
      </c>
      <c r="G44" s="417" t="s">
        <v>1594</v>
      </c>
      <c r="H44" s="418">
        <v>4498.16</v>
      </c>
    </row>
    <row r="45" spans="1:8" ht="76.5" x14ac:dyDescent="0.25">
      <c r="A45" s="414">
        <v>44812</v>
      </c>
      <c r="B45" s="415" t="s">
        <v>1792</v>
      </c>
      <c r="C45" s="415" t="s">
        <v>1839</v>
      </c>
      <c r="D45" s="416" t="s">
        <v>1835</v>
      </c>
      <c r="E45" s="415" t="s">
        <v>1840</v>
      </c>
      <c r="F45" s="415" t="s">
        <v>1796</v>
      </c>
      <c r="G45" s="417" t="s">
        <v>1594</v>
      </c>
      <c r="H45" s="418">
        <v>4498.16</v>
      </c>
    </row>
    <row r="46" spans="1:8" ht="76.5" x14ac:dyDescent="0.25">
      <c r="A46" s="414">
        <v>44812</v>
      </c>
      <c r="B46" s="415" t="s">
        <v>1792</v>
      </c>
      <c r="C46" s="415" t="s">
        <v>1841</v>
      </c>
      <c r="D46" s="416" t="s">
        <v>1835</v>
      </c>
      <c r="E46" s="415" t="s">
        <v>1842</v>
      </c>
      <c r="F46" s="415" t="s">
        <v>1796</v>
      </c>
      <c r="G46" s="417" t="s">
        <v>1594</v>
      </c>
      <c r="H46" s="418">
        <v>4498.16</v>
      </c>
    </row>
    <row r="47" spans="1:8" ht="76.5" x14ac:dyDescent="0.25">
      <c r="A47" s="414">
        <v>44812</v>
      </c>
      <c r="B47" s="415" t="s">
        <v>1792</v>
      </c>
      <c r="C47" s="415" t="s">
        <v>1843</v>
      </c>
      <c r="D47" s="416" t="s">
        <v>1835</v>
      </c>
      <c r="E47" s="415" t="s">
        <v>1844</v>
      </c>
      <c r="F47" s="415" t="s">
        <v>1796</v>
      </c>
      <c r="G47" s="417" t="s">
        <v>1594</v>
      </c>
      <c r="H47" s="418">
        <v>4498.16</v>
      </c>
    </row>
    <row r="48" spans="1:8" ht="76.5" x14ac:dyDescent="0.25">
      <c r="A48" s="414">
        <v>44812</v>
      </c>
      <c r="B48" s="415" t="s">
        <v>1792</v>
      </c>
      <c r="C48" s="415" t="s">
        <v>1845</v>
      </c>
      <c r="D48" s="416" t="s">
        <v>1835</v>
      </c>
      <c r="E48" s="415" t="s">
        <v>1846</v>
      </c>
      <c r="F48" s="415" t="s">
        <v>1796</v>
      </c>
      <c r="G48" s="417" t="s">
        <v>1594</v>
      </c>
      <c r="H48" s="418">
        <v>4498.16</v>
      </c>
    </row>
    <row r="49" spans="1:8" ht="76.5" x14ac:dyDescent="0.25">
      <c r="A49" s="414">
        <v>44812</v>
      </c>
      <c r="B49" s="415" t="s">
        <v>1792</v>
      </c>
      <c r="C49" s="415" t="s">
        <v>1847</v>
      </c>
      <c r="D49" s="416" t="s">
        <v>1835</v>
      </c>
      <c r="E49" s="415" t="s">
        <v>1848</v>
      </c>
      <c r="F49" s="415" t="s">
        <v>1796</v>
      </c>
      <c r="G49" s="417" t="s">
        <v>1594</v>
      </c>
      <c r="H49" s="418">
        <v>4498.16</v>
      </c>
    </row>
    <row r="50" spans="1:8" ht="76.5" x14ac:dyDescent="0.25">
      <c r="A50" s="414">
        <v>44812</v>
      </c>
      <c r="B50" s="415" t="s">
        <v>1792</v>
      </c>
      <c r="C50" s="415" t="s">
        <v>1849</v>
      </c>
      <c r="D50" s="416" t="s">
        <v>1835</v>
      </c>
      <c r="E50" s="415" t="s">
        <v>1850</v>
      </c>
      <c r="F50" s="415" t="s">
        <v>1796</v>
      </c>
      <c r="G50" s="417" t="s">
        <v>1594</v>
      </c>
      <c r="H50" s="418">
        <v>4498.16</v>
      </c>
    </row>
    <row r="51" spans="1:8" ht="76.5" x14ac:dyDescent="0.25">
      <c r="A51" s="414">
        <v>44812</v>
      </c>
      <c r="B51" s="415" t="s">
        <v>1792</v>
      </c>
      <c r="C51" s="415" t="s">
        <v>1851</v>
      </c>
      <c r="D51" s="416" t="s">
        <v>1835</v>
      </c>
      <c r="E51" s="415" t="s">
        <v>1852</v>
      </c>
      <c r="F51" s="415" t="s">
        <v>1796</v>
      </c>
      <c r="G51" s="417" t="s">
        <v>1594</v>
      </c>
      <c r="H51" s="418">
        <v>4498.16</v>
      </c>
    </row>
    <row r="52" spans="1:8" ht="76.5" x14ac:dyDescent="0.25">
      <c r="A52" s="414">
        <v>44812</v>
      </c>
      <c r="B52" s="415" t="s">
        <v>1792</v>
      </c>
      <c r="C52" s="415" t="s">
        <v>1853</v>
      </c>
      <c r="D52" s="416" t="s">
        <v>1835</v>
      </c>
      <c r="E52" s="415" t="s">
        <v>1854</v>
      </c>
      <c r="F52" s="415" t="s">
        <v>1796</v>
      </c>
      <c r="G52" s="417" t="s">
        <v>1594</v>
      </c>
      <c r="H52" s="418">
        <v>4498.16</v>
      </c>
    </row>
    <row r="53" spans="1:8" ht="76.5" x14ac:dyDescent="0.25">
      <c r="A53" s="414">
        <v>44812</v>
      </c>
      <c r="B53" s="415" t="s">
        <v>1792</v>
      </c>
      <c r="C53" s="415" t="s">
        <v>1855</v>
      </c>
      <c r="D53" s="416" t="s">
        <v>1835</v>
      </c>
      <c r="E53" s="415" t="s">
        <v>1856</v>
      </c>
      <c r="F53" s="415" t="s">
        <v>1796</v>
      </c>
      <c r="G53" s="417" t="s">
        <v>1594</v>
      </c>
      <c r="H53" s="418">
        <v>4498.16</v>
      </c>
    </row>
    <row r="54" spans="1:8" ht="76.5" x14ac:dyDescent="0.25">
      <c r="A54" s="414">
        <v>44812</v>
      </c>
      <c r="B54" s="415" t="s">
        <v>1792</v>
      </c>
      <c r="C54" s="415" t="s">
        <v>1857</v>
      </c>
      <c r="D54" s="416" t="s">
        <v>1835</v>
      </c>
      <c r="E54" s="415" t="s">
        <v>1858</v>
      </c>
      <c r="F54" s="415" t="s">
        <v>1796</v>
      </c>
      <c r="G54" s="417" t="s">
        <v>1594</v>
      </c>
      <c r="H54" s="418">
        <v>4498.16</v>
      </c>
    </row>
    <row r="55" spans="1:8" ht="76.5" x14ac:dyDescent="0.25">
      <c r="A55" s="414">
        <v>44812</v>
      </c>
      <c r="B55" s="415" t="s">
        <v>1792</v>
      </c>
      <c r="C55" s="415" t="s">
        <v>1859</v>
      </c>
      <c r="D55" s="416" t="s">
        <v>1835</v>
      </c>
      <c r="E55" s="415" t="s">
        <v>1860</v>
      </c>
      <c r="F55" s="415" t="s">
        <v>1796</v>
      </c>
      <c r="G55" s="417" t="s">
        <v>1594</v>
      </c>
      <c r="H55" s="418">
        <v>4498.16</v>
      </c>
    </row>
    <row r="56" spans="1:8" ht="76.5" x14ac:dyDescent="0.25">
      <c r="A56" s="414">
        <v>44812</v>
      </c>
      <c r="B56" s="415" t="s">
        <v>1792</v>
      </c>
      <c r="C56" s="415" t="s">
        <v>1861</v>
      </c>
      <c r="D56" s="416" t="s">
        <v>1835</v>
      </c>
      <c r="E56" s="415" t="s">
        <v>1862</v>
      </c>
      <c r="F56" s="415" t="s">
        <v>1796</v>
      </c>
      <c r="G56" s="417" t="s">
        <v>1594</v>
      </c>
      <c r="H56" s="418">
        <v>4498.16</v>
      </c>
    </row>
    <row r="57" spans="1:8" ht="76.5" x14ac:dyDescent="0.25">
      <c r="A57" s="414">
        <v>44812</v>
      </c>
      <c r="B57" s="415" t="s">
        <v>1792</v>
      </c>
      <c r="C57" s="415" t="s">
        <v>1863</v>
      </c>
      <c r="D57" s="416" t="s">
        <v>1835</v>
      </c>
      <c r="E57" s="415" t="s">
        <v>1864</v>
      </c>
      <c r="F57" s="415" t="s">
        <v>1796</v>
      </c>
      <c r="G57" s="417" t="s">
        <v>1594</v>
      </c>
      <c r="H57" s="418">
        <v>4498.16</v>
      </c>
    </row>
    <row r="58" spans="1:8" ht="76.5" x14ac:dyDescent="0.25">
      <c r="A58" s="414">
        <v>44812</v>
      </c>
      <c r="B58" s="415" t="s">
        <v>1792</v>
      </c>
      <c r="C58" s="415" t="s">
        <v>1865</v>
      </c>
      <c r="D58" s="416" t="s">
        <v>1835</v>
      </c>
      <c r="E58" s="415" t="s">
        <v>1866</v>
      </c>
      <c r="F58" s="415" t="s">
        <v>1796</v>
      </c>
      <c r="G58" s="417" t="s">
        <v>1594</v>
      </c>
      <c r="H58" s="418">
        <v>4498.16</v>
      </c>
    </row>
    <row r="59" spans="1:8" ht="76.5" x14ac:dyDescent="0.25">
      <c r="A59" s="414">
        <v>44812</v>
      </c>
      <c r="B59" s="415" t="s">
        <v>1792</v>
      </c>
      <c r="C59" s="415" t="s">
        <v>1867</v>
      </c>
      <c r="D59" s="416" t="s">
        <v>1835</v>
      </c>
      <c r="E59" s="415" t="s">
        <v>1868</v>
      </c>
      <c r="F59" s="415" t="s">
        <v>1796</v>
      </c>
      <c r="G59" s="417" t="s">
        <v>1594</v>
      </c>
      <c r="H59" s="418">
        <v>4498.16</v>
      </c>
    </row>
    <row r="60" spans="1:8" ht="76.5" x14ac:dyDescent="0.25">
      <c r="A60" s="414">
        <v>44812</v>
      </c>
      <c r="B60" s="415" t="s">
        <v>1792</v>
      </c>
      <c r="C60" s="415" t="s">
        <v>1869</v>
      </c>
      <c r="D60" s="416" t="s">
        <v>1835</v>
      </c>
      <c r="E60" s="415" t="s">
        <v>1870</v>
      </c>
      <c r="F60" s="415" t="s">
        <v>1796</v>
      </c>
      <c r="G60" s="417" t="s">
        <v>1594</v>
      </c>
      <c r="H60" s="418">
        <v>4498.16</v>
      </c>
    </row>
    <row r="61" spans="1:8" ht="76.5" x14ac:dyDescent="0.25">
      <c r="A61" s="414">
        <v>44812</v>
      </c>
      <c r="B61" s="415" t="s">
        <v>1792</v>
      </c>
      <c r="C61" s="415" t="s">
        <v>1871</v>
      </c>
      <c r="D61" s="416" t="s">
        <v>1835</v>
      </c>
      <c r="E61" s="415" t="s">
        <v>1872</v>
      </c>
      <c r="F61" s="415" t="s">
        <v>1796</v>
      </c>
      <c r="G61" s="417" t="s">
        <v>1594</v>
      </c>
      <c r="H61" s="418">
        <v>4498.16</v>
      </c>
    </row>
    <row r="62" spans="1:8" ht="76.5" x14ac:dyDescent="0.25">
      <c r="A62" s="363">
        <v>44841</v>
      </c>
      <c r="B62" s="347" t="s">
        <v>1873</v>
      </c>
      <c r="C62" s="347" t="s">
        <v>1874</v>
      </c>
      <c r="D62" s="357" t="s">
        <v>1875</v>
      </c>
      <c r="E62" s="347" t="s">
        <v>1876</v>
      </c>
      <c r="F62" s="347" t="s">
        <v>1796</v>
      </c>
      <c r="G62" s="356" t="s">
        <v>1594</v>
      </c>
      <c r="H62" s="358">
        <v>14075.63</v>
      </c>
    </row>
    <row r="63" spans="1:8" ht="76.5" x14ac:dyDescent="0.25">
      <c r="A63" s="363">
        <v>44841</v>
      </c>
      <c r="B63" s="347" t="s">
        <v>1873</v>
      </c>
      <c r="C63" s="347" t="s">
        <v>1877</v>
      </c>
      <c r="D63" s="357" t="s">
        <v>1875</v>
      </c>
      <c r="E63" s="347" t="s">
        <v>1878</v>
      </c>
      <c r="F63" s="347" t="s">
        <v>1796</v>
      </c>
      <c r="G63" s="356" t="s">
        <v>1594</v>
      </c>
      <c r="H63" s="358">
        <v>14075.63</v>
      </c>
    </row>
    <row r="64" spans="1:8" ht="76.5" x14ac:dyDescent="0.25">
      <c r="A64" s="363">
        <v>44841</v>
      </c>
      <c r="B64" s="347" t="s">
        <v>1873</v>
      </c>
      <c r="C64" s="347" t="s">
        <v>1879</v>
      </c>
      <c r="D64" s="357" t="s">
        <v>1875</v>
      </c>
      <c r="E64" s="347" t="s">
        <v>1880</v>
      </c>
      <c r="F64" s="347" t="s">
        <v>1796</v>
      </c>
      <c r="G64" s="356" t="s">
        <v>1594</v>
      </c>
      <c r="H64" s="358">
        <v>14075.63</v>
      </c>
    </row>
    <row r="65" spans="1:8" ht="76.5" x14ac:dyDescent="0.25">
      <c r="A65" s="363">
        <v>44841</v>
      </c>
      <c r="B65" s="347" t="s">
        <v>1873</v>
      </c>
      <c r="C65" s="347" t="s">
        <v>1881</v>
      </c>
      <c r="D65" s="357" t="s">
        <v>1875</v>
      </c>
      <c r="E65" s="347" t="s">
        <v>1882</v>
      </c>
      <c r="F65" s="347" t="s">
        <v>1796</v>
      </c>
      <c r="G65" s="356" t="s">
        <v>1594</v>
      </c>
      <c r="H65" s="358">
        <v>14075.63</v>
      </c>
    </row>
    <row r="66" spans="1:8" ht="76.5" x14ac:dyDescent="0.25">
      <c r="A66" s="363">
        <v>44841</v>
      </c>
      <c r="B66" s="347" t="s">
        <v>1873</v>
      </c>
      <c r="C66" s="347" t="s">
        <v>1883</v>
      </c>
      <c r="D66" s="357" t="s">
        <v>1875</v>
      </c>
      <c r="E66" s="347" t="s">
        <v>1884</v>
      </c>
      <c r="F66" s="347" t="s">
        <v>1796</v>
      </c>
      <c r="G66" s="356" t="s">
        <v>1594</v>
      </c>
      <c r="H66" s="358">
        <v>14075.63</v>
      </c>
    </row>
    <row r="67" spans="1:8" ht="76.5" x14ac:dyDescent="0.25">
      <c r="A67" s="363">
        <v>44841</v>
      </c>
      <c r="B67" s="347" t="s">
        <v>1873</v>
      </c>
      <c r="C67" s="347" t="s">
        <v>1885</v>
      </c>
      <c r="D67" s="357" t="s">
        <v>1875</v>
      </c>
      <c r="E67" s="347" t="s">
        <v>1886</v>
      </c>
      <c r="F67" s="347" t="s">
        <v>1796</v>
      </c>
      <c r="G67" s="356" t="s">
        <v>1594</v>
      </c>
      <c r="H67" s="358">
        <v>14075.63</v>
      </c>
    </row>
    <row r="68" spans="1:8" ht="76.5" x14ac:dyDescent="0.25">
      <c r="A68" s="363">
        <v>44841</v>
      </c>
      <c r="B68" s="347" t="s">
        <v>1873</v>
      </c>
      <c r="C68" s="347" t="s">
        <v>1887</v>
      </c>
      <c r="D68" s="357" t="s">
        <v>1875</v>
      </c>
      <c r="E68" s="347" t="s">
        <v>1888</v>
      </c>
      <c r="F68" s="347" t="s">
        <v>1796</v>
      </c>
      <c r="G68" s="356" t="s">
        <v>1594</v>
      </c>
      <c r="H68" s="358">
        <v>14075.63</v>
      </c>
    </row>
    <row r="69" spans="1:8" ht="76.5" x14ac:dyDescent="0.25">
      <c r="A69" s="363">
        <v>44841</v>
      </c>
      <c r="B69" s="347" t="s">
        <v>1873</v>
      </c>
      <c r="C69" s="347" t="s">
        <v>1889</v>
      </c>
      <c r="D69" s="357" t="s">
        <v>1875</v>
      </c>
      <c r="E69" s="347" t="s">
        <v>1890</v>
      </c>
      <c r="F69" s="347" t="s">
        <v>1796</v>
      </c>
      <c r="G69" s="356" t="s">
        <v>1594</v>
      </c>
      <c r="H69" s="358">
        <v>14075.63</v>
      </c>
    </row>
    <row r="70" spans="1:8" ht="76.5" x14ac:dyDescent="0.25">
      <c r="A70" s="363">
        <v>44841</v>
      </c>
      <c r="B70" s="347" t="s">
        <v>1873</v>
      </c>
      <c r="C70" s="347" t="s">
        <v>1891</v>
      </c>
      <c r="D70" s="357" t="s">
        <v>1875</v>
      </c>
      <c r="E70" s="347" t="s">
        <v>1892</v>
      </c>
      <c r="F70" s="347" t="s">
        <v>1796</v>
      </c>
      <c r="G70" s="356" t="s">
        <v>1594</v>
      </c>
      <c r="H70" s="358">
        <v>14075.63</v>
      </c>
    </row>
    <row r="71" spans="1:8" ht="76.5" x14ac:dyDescent="0.25">
      <c r="A71" s="363">
        <v>44841</v>
      </c>
      <c r="B71" s="347" t="s">
        <v>1873</v>
      </c>
      <c r="C71" s="347" t="s">
        <v>1893</v>
      </c>
      <c r="D71" s="357" t="s">
        <v>1875</v>
      </c>
      <c r="E71" s="347" t="s">
        <v>1894</v>
      </c>
      <c r="F71" s="347" t="s">
        <v>1796</v>
      </c>
      <c r="G71" s="356" t="s">
        <v>1594</v>
      </c>
      <c r="H71" s="358">
        <v>14075.63</v>
      </c>
    </row>
    <row r="72" spans="1:8" ht="76.5" x14ac:dyDescent="0.25">
      <c r="A72" s="363">
        <v>44841</v>
      </c>
      <c r="B72" s="347" t="s">
        <v>1873</v>
      </c>
      <c r="C72" s="347" t="s">
        <v>1895</v>
      </c>
      <c r="D72" s="357" t="s">
        <v>1875</v>
      </c>
      <c r="E72" s="347" t="s">
        <v>1896</v>
      </c>
      <c r="F72" s="347" t="s">
        <v>1796</v>
      </c>
      <c r="G72" s="356" t="s">
        <v>1594</v>
      </c>
      <c r="H72" s="358">
        <v>14075.63</v>
      </c>
    </row>
    <row r="73" spans="1:8" ht="76.5" x14ac:dyDescent="0.25">
      <c r="A73" s="363">
        <v>44841</v>
      </c>
      <c r="B73" s="347" t="s">
        <v>1873</v>
      </c>
      <c r="C73" s="347" t="s">
        <v>1897</v>
      </c>
      <c r="D73" s="357" t="s">
        <v>1875</v>
      </c>
      <c r="E73" s="347" t="s">
        <v>1898</v>
      </c>
      <c r="F73" s="347" t="s">
        <v>1796</v>
      </c>
      <c r="G73" s="356" t="s">
        <v>1594</v>
      </c>
      <c r="H73" s="358">
        <v>14075.63</v>
      </c>
    </row>
    <row r="74" spans="1:8" ht="76.5" x14ac:dyDescent="0.25">
      <c r="A74" s="363">
        <v>44841</v>
      </c>
      <c r="B74" s="347" t="s">
        <v>1873</v>
      </c>
      <c r="C74" s="347" t="s">
        <v>1899</v>
      </c>
      <c r="D74" s="357" t="s">
        <v>1875</v>
      </c>
      <c r="E74" s="347" t="s">
        <v>1900</v>
      </c>
      <c r="F74" s="347" t="s">
        <v>1796</v>
      </c>
      <c r="G74" s="356" t="s">
        <v>1594</v>
      </c>
      <c r="H74" s="358">
        <v>14075.63</v>
      </c>
    </row>
    <row r="75" spans="1:8" ht="76.5" x14ac:dyDescent="0.25">
      <c r="A75" s="363">
        <v>44841</v>
      </c>
      <c r="B75" s="347" t="s">
        <v>1873</v>
      </c>
      <c r="C75" s="347" t="s">
        <v>1901</v>
      </c>
      <c r="D75" s="357" t="s">
        <v>1875</v>
      </c>
      <c r="E75" s="347" t="s">
        <v>1902</v>
      </c>
      <c r="F75" s="347" t="s">
        <v>1796</v>
      </c>
      <c r="G75" s="356" t="s">
        <v>1594</v>
      </c>
      <c r="H75" s="358">
        <v>14075.63</v>
      </c>
    </row>
    <row r="76" spans="1:8" ht="76.5" x14ac:dyDescent="0.25">
      <c r="A76" s="363">
        <v>44841</v>
      </c>
      <c r="B76" s="347" t="s">
        <v>1873</v>
      </c>
      <c r="C76" s="347" t="s">
        <v>1903</v>
      </c>
      <c r="D76" s="357" t="s">
        <v>1875</v>
      </c>
      <c r="E76" s="347" t="s">
        <v>1904</v>
      </c>
      <c r="F76" s="347" t="s">
        <v>1796</v>
      </c>
      <c r="G76" s="356" t="s">
        <v>1594</v>
      </c>
      <c r="H76" s="358">
        <v>14075.63</v>
      </c>
    </row>
    <row r="77" spans="1:8" ht="76.5" x14ac:dyDescent="0.25">
      <c r="A77" s="363">
        <v>44841</v>
      </c>
      <c r="B77" s="347" t="s">
        <v>1873</v>
      </c>
      <c r="C77" s="347" t="s">
        <v>1905</v>
      </c>
      <c r="D77" s="357" t="s">
        <v>1875</v>
      </c>
      <c r="E77" s="347" t="s">
        <v>1906</v>
      </c>
      <c r="F77" s="347" t="s">
        <v>1796</v>
      </c>
      <c r="G77" s="356" t="s">
        <v>1594</v>
      </c>
      <c r="H77" s="358">
        <v>14075.63</v>
      </c>
    </row>
    <row r="78" spans="1:8" ht="76.5" x14ac:dyDescent="0.25">
      <c r="A78" s="363">
        <v>44841</v>
      </c>
      <c r="B78" s="347" t="s">
        <v>1873</v>
      </c>
      <c r="C78" s="347" t="s">
        <v>1907</v>
      </c>
      <c r="D78" s="357" t="s">
        <v>1875</v>
      </c>
      <c r="E78" s="347" t="s">
        <v>1908</v>
      </c>
      <c r="F78" s="347" t="s">
        <v>1796</v>
      </c>
      <c r="G78" s="356" t="s">
        <v>1594</v>
      </c>
      <c r="H78" s="358">
        <v>14075.63</v>
      </c>
    </row>
    <row r="79" spans="1:8" ht="76.5" x14ac:dyDescent="0.25">
      <c r="A79" s="363">
        <v>44841</v>
      </c>
      <c r="B79" s="347" t="s">
        <v>1873</v>
      </c>
      <c r="C79" s="347" t="s">
        <v>1909</v>
      </c>
      <c r="D79" s="357" t="s">
        <v>1875</v>
      </c>
      <c r="E79" s="347" t="s">
        <v>1910</v>
      </c>
      <c r="F79" s="347" t="s">
        <v>1796</v>
      </c>
      <c r="G79" s="356" t="s">
        <v>1594</v>
      </c>
      <c r="H79" s="358">
        <v>14075.63</v>
      </c>
    </row>
    <row r="80" spans="1:8" ht="76.5" x14ac:dyDescent="0.25">
      <c r="A80" s="363">
        <v>44841</v>
      </c>
      <c r="B80" s="347" t="s">
        <v>1873</v>
      </c>
      <c r="C80" s="347" t="s">
        <v>1911</v>
      </c>
      <c r="D80" s="357" t="s">
        <v>1875</v>
      </c>
      <c r="E80" s="347" t="s">
        <v>1912</v>
      </c>
      <c r="F80" s="347" t="s">
        <v>1796</v>
      </c>
      <c r="G80" s="356" t="s">
        <v>1594</v>
      </c>
      <c r="H80" s="358">
        <v>14075.63</v>
      </c>
    </row>
    <row r="81" spans="1:8" ht="76.5" x14ac:dyDescent="0.25">
      <c r="A81" s="363">
        <v>44841</v>
      </c>
      <c r="B81" s="336" t="s">
        <v>1873</v>
      </c>
      <c r="C81" s="336" t="s">
        <v>1913</v>
      </c>
      <c r="D81" s="351" t="s">
        <v>1914</v>
      </c>
      <c r="E81" s="336" t="s">
        <v>1915</v>
      </c>
      <c r="F81" s="336" t="s">
        <v>1796</v>
      </c>
      <c r="G81" s="352" t="s">
        <v>1594</v>
      </c>
      <c r="H81" s="354">
        <v>21931.99</v>
      </c>
    </row>
    <row r="82" spans="1:8" ht="76.5" x14ac:dyDescent="0.25">
      <c r="A82" s="363">
        <v>44841</v>
      </c>
      <c r="B82" s="336" t="s">
        <v>1873</v>
      </c>
      <c r="C82" s="336" t="s">
        <v>1916</v>
      </c>
      <c r="D82" s="351" t="s">
        <v>1914</v>
      </c>
      <c r="E82" s="336" t="s">
        <v>1917</v>
      </c>
      <c r="F82" s="336" t="s">
        <v>1796</v>
      </c>
      <c r="G82" s="352" t="s">
        <v>1594</v>
      </c>
      <c r="H82" s="354">
        <v>21931.99</v>
      </c>
    </row>
    <row r="83" spans="1:8" ht="76.5" x14ac:dyDescent="0.25">
      <c r="A83" s="363">
        <v>44841</v>
      </c>
      <c r="B83" s="336" t="s">
        <v>1873</v>
      </c>
      <c r="C83" s="336" t="s">
        <v>1918</v>
      </c>
      <c r="D83" s="351" t="s">
        <v>1914</v>
      </c>
      <c r="E83" s="336" t="s">
        <v>1919</v>
      </c>
      <c r="F83" s="336" t="s">
        <v>1796</v>
      </c>
      <c r="G83" s="352" t="s">
        <v>1594</v>
      </c>
      <c r="H83" s="354">
        <v>21932</v>
      </c>
    </row>
    <row r="84" spans="1:8" ht="76.5" x14ac:dyDescent="0.25">
      <c r="A84" s="363">
        <v>44841</v>
      </c>
      <c r="B84" s="336" t="s">
        <v>1873</v>
      </c>
      <c r="C84" s="336" t="s">
        <v>1920</v>
      </c>
      <c r="D84" s="351" t="s">
        <v>1914</v>
      </c>
      <c r="E84" s="336" t="s">
        <v>1921</v>
      </c>
      <c r="F84" s="336" t="s">
        <v>1796</v>
      </c>
      <c r="G84" s="352" t="s">
        <v>1594</v>
      </c>
      <c r="H84" s="354">
        <v>21932</v>
      </c>
    </row>
    <row r="85" spans="1:8" ht="76.5" x14ac:dyDescent="0.25">
      <c r="A85" s="363">
        <v>44841</v>
      </c>
      <c r="B85" s="336" t="s">
        <v>1873</v>
      </c>
      <c r="C85" s="336" t="s">
        <v>1922</v>
      </c>
      <c r="D85" s="351" t="s">
        <v>1914</v>
      </c>
      <c r="E85" s="336" t="s">
        <v>1923</v>
      </c>
      <c r="F85" s="336" t="s">
        <v>1796</v>
      </c>
      <c r="G85" s="352" t="s">
        <v>1594</v>
      </c>
      <c r="H85" s="354">
        <v>21932</v>
      </c>
    </row>
    <row r="86" spans="1:8" ht="76.5" x14ac:dyDescent="0.25">
      <c r="A86" s="363">
        <v>44841</v>
      </c>
      <c r="B86" s="336" t="s">
        <v>1873</v>
      </c>
      <c r="C86" s="336" t="s">
        <v>1924</v>
      </c>
      <c r="D86" s="351" t="s">
        <v>1914</v>
      </c>
      <c r="E86" s="336" t="s">
        <v>1925</v>
      </c>
      <c r="F86" s="336" t="s">
        <v>1796</v>
      </c>
      <c r="G86" s="352" t="s">
        <v>1594</v>
      </c>
      <c r="H86" s="354">
        <v>21932</v>
      </c>
    </row>
    <row r="87" spans="1:8" ht="76.5" x14ac:dyDescent="0.25">
      <c r="A87" s="363">
        <v>44841</v>
      </c>
      <c r="B87" s="336" t="s">
        <v>1873</v>
      </c>
      <c r="C87" s="336" t="s">
        <v>1926</v>
      </c>
      <c r="D87" s="351" t="s">
        <v>1914</v>
      </c>
      <c r="E87" s="336" t="s">
        <v>1927</v>
      </c>
      <c r="F87" s="336" t="s">
        <v>1796</v>
      </c>
      <c r="G87" s="352" t="s">
        <v>1594</v>
      </c>
      <c r="H87" s="354">
        <v>21932</v>
      </c>
    </row>
    <row r="88" spans="1:8" ht="76.5" x14ac:dyDescent="0.25">
      <c r="A88" s="363">
        <v>44841</v>
      </c>
      <c r="B88" s="336" t="s">
        <v>1873</v>
      </c>
      <c r="C88" s="336" t="s">
        <v>1928</v>
      </c>
      <c r="D88" s="351" t="s">
        <v>1914</v>
      </c>
      <c r="E88" s="336" t="s">
        <v>1929</v>
      </c>
      <c r="F88" s="336" t="s">
        <v>1796</v>
      </c>
      <c r="G88" s="352" t="s">
        <v>1594</v>
      </c>
      <c r="H88" s="354">
        <v>21932</v>
      </c>
    </row>
    <row r="89" spans="1:8" ht="76.5" x14ac:dyDescent="0.25">
      <c r="A89" s="363">
        <v>44841</v>
      </c>
      <c r="B89" s="336" t="s">
        <v>1873</v>
      </c>
      <c r="C89" s="336" t="s">
        <v>1930</v>
      </c>
      <c r="D89" s="351" t="s">
        <v>1914</v>
      </c>
      <c r="E89" s="336" t="s">
        <v>1931</v>
      </c>
      <c r="F89" s="336" t="s">
        <v>1796</v>
      </c>
      <c r="G89" s="352" t="s">
        <v>1594</v>
      </c>
      <c r="H89" s="354">
        <v>21932</v>
      </c>
    </row>
    <row r="90" spans="1:8" ht="76.5" x14ac:dyDescent="0.25">
      <c r="A90" s="363">
        <v>44841</v>
      </c>
      <c r="B90" s="336" t="s">
        <v>1873</v>
      </c>
      <c r="C90" s="336" t="s">
        <v>1932</v>
      </c>
      <c r="D90" s="351" t="s">
        <v>1914</v>
      </c>
      <c r="E90" s="336" t="s">
        <v>1933</v>
      </c>
      <c r="F90" s="336" t="s">
        <v>1796</v>
      </c>
      <c r="G90" s="352" t="s">
        <v>1594</v>
      </c>
      <c r="H90" s="354">
        <v>21932</v>
      </c>
    </row>
    <row r="91" spans="1:8" ht="76.5" x14ac:dyDescent="0.25">
      <c r="A91" s="363">
        <v>44841</v>
      </c>
      <c r="B91" s="336" t="s">
        <v>1873</v>
      </c>
      <c r="C91" s="336" t="s">
        <v>1934</v>
      </c>
      <c r="D91" s="351" t="s">
        <v>1914</v>
      </c>
      <c r="E91" s="336" t="s">
        <v>1935</v>
      </c>
      <c r="F91" s="336" t="s">
        <v>1796</v>
      </c>
      <c r="G91" s="352" t="s">
        <v>1594</v>
      </c>
      <c r="H91" s="354">
        <v>21932</v>
      </c>
    </row>
    <row r="92" spans="1:8" ht="76.5" x14ac:dyDescent="0.25">
      <c r="A92" s="363">
        <v>44841</v>
      </c>
      <c r="B92" s="336" t="s">
        <v>1873</v>
      </c>
      <c r="C92" s="336" t="s">
        <v>1936</v>
      </c>
      <c r="D92" s="351" t="s">
        <v>1914</v>
      </c>
      <c r="E92" s="336" t="s">
        <v>1937</v>
      </c>
      <c r="F92" s="336" t="s">
        <v>1796</v>
      </c>
      <c r="G92" s="352" t="s">
        <v>1594</v>
      </c>
      <c r="H92" s="354">
        <v>21932</v>
      </c>
    </row>
    <row r="93" spans="1:8" ht="76.5" x14ac:dyDescent="0.25">
      <c r="A93" s="363">
        <v>44841</v>
      </c>
      <c r="B93" s="336" t="s">
        <v>1873</v>
      </c>
      <c r="C93" s="336" t="s">
        <v>1938</v>
      </c>
      <c r="D93" s="351" t="s">
        <v>1914</v>
      </c>
      <c r="E93" s="336" t="s">
        <v>1939</v>
      </c>
      <c r="F93" s="336" t="s">
        <v>1796</v>
      </c>
      <c r="G93" s="352" t="s">
        <v>1594</v>
      </c>
      <c r="H93" s="354">
        <v>21932</v>
      </c>
    </row>
    <row r="94" spans="1:8" ht="76.5" x14ac:dyDescent="0.25">
      <c r="A94" s="363">
        <v>44841</v>
      </c>
      <c r="B94" s="336" t="s">
        <v>1873</v>
      </c>
      <c r="C94" s="336" t="s">
        <v>1940</v>
      </c>
      <c r="D94" s="351" t="s">
        <v>1914</v>
      </c>
      <c r="E94" s="336" t="s">
        <v>1941</v>
      </c>
      <c r="F94" s="336" t="s">
        <v>1796</v>
      </c>
      <c r="G94" s="352" t="s">
        <v>1594</v>
      </c>
      <c r="H94" s="354">
        <v>21932</v>
      </c>
    </row>
    <row r="95" spans="1:8" ht="76.5" x14ac:dyDescent="0.25">
      <c r="A95" s="363">
        <v>44841</v>
      </c>
      <c r="B95" s="336" t="s">
        <v>1873</v>
      </c>
      <c r="C95" s="336" t="s">
        <v>1942</v>
      </c>
      <c r="D95" s="351" t="s">
        <v>1914</v>
      </c>
      <c r="E95" s="336" t="s">
        <v>1943</v>
      </c>
      <c r="F95" s="336" t="s">
        <v>1796</v>
      </c>
      <c r="G95" s="352" t="s">
        <v>1594</v>
      </c>
      <c r="H95" s="354">
        <v>21932</v>
      </c>
    </row>
    <row r="96" spans="1:8" ht="76.5" x14ac:dyDescent="0.25">
      <c r="A96" s="363">
        <v>44841</v>
      </c>
      <c r="B96" s="336" t="s">
        <v>1873</v>
      </c>
      <c r="C96" s="336" t="s">
        <v>1944</v>
      </c>
      <c r="D96" s="351" t="s">
        <v>1914</v>
      </c>
      <c r="E96" s="336" t="s">
        <v>1945</v>
      </c>
      <c r="F96" s="336" t="s">
        <v>1796</v>
      </c>
      <c r="G96" s="352" t="s">
        <v>1594</v>
      </c>
      <c r="H96" s="354">
        <v>21932</v>
      </c>
    </row>
    <row r="97" spans="1:8" ht="76.5" x14ac:dyDescent="0.25">
      <c r="A97" s="363">
        <v>44841</v>
      </c>
      <c r="B97" s="336" t="s">
        <v>1873</v>
      </c>
      <c r="C97" s="336" t="s">
        <v>1946</v>
      </c>
      <c r="D97" s="351" t="s">
        <v>1914</v>
      </c>
      <c r="E97" s="336" t="s">
        <v>1947</v>
      </c>
      <c r="F97" s="336" t="s">
        <v>1796</v>
      </c>
      <c r="G97" s="352" t="s">
        <v>1594</v>
      </c>
      <c r="H97" s="354">
        <v>21932</v>
      </c>
    </row>
    <row r="98" spans="1:8" ht="76.5" x14ac:dyDescent="0.25">
      <c r="A98" s="363">
        <v>44841</v>
      </c>
      <c r="B98" s="336" t="s">
        <v>1873</v>
      </c>
      <c r="C98" s="336" t="s">
        <v>1948</v>
      </c>
      <c r="D98" s="351" t="s">
        <v>1914</v>
      </c>
      <c r="E98" s="336" t="s">
        <v>1949</v>
      </c>
      <c r="F98" s="336" t="s">
        <v>1796</v>
      </c>
      <c r="G98" s="352" t="s">
        <v>1594</v>
      </c>
      <c r="H98" s="354">
        <v>21932</v>
      </c>
    </row>
    <row r="99" spans="1:8" ht="76.5" x14ac:dyDescent="0.25">
      <c r="A99" s="363">
        <v>44841</v>
      </c>
      <c r="B99" s="336" t="s">
        <v>1873</v>
      </c>
      <c r="C99" s="336" t="s">
        <v>1950</v>
      </c>
      <c r="D99" s="351" t="s">
        <v>1914</v>
      </c>
      <c r="E99" s="336" t="s">
        <v>1951</v>
      </c>
      <c r="F99" s="336" t="s">
        <v>1796</v>
      </c>
      <c r="G99" s="352" t="s">
        <v>1594</v>
      </c>
      <c r="H99" s="354">
        <v>21932</v>
      </c>
    </row>
    <row r="100" spans="1:8" ht="76.5" x14ac:dyDescent="0.25">
      <c r="A100" s="363">
        <v>44841</v>
      </c>
      <c r="B100" s="336" t="s">
        <v>1873</v>
      </c>
      <c r="C100" s="336" t="s">
        <v>1952</v>
      </c>
      <c r="D100" s="351" t="s">
        <v>1914</v>
      </c>
      <c r="E100" s="336" t="s">
        <v>1953</v>
      </c>
      <c r="F100" s="336" t="s">
        <v>1796</v>
      </c>
      <c r="G100" s="352" t="s">
        <v>1594</v>
      </c>
      <c r="H100" s="354">
        <v>21932</v>
      </c>
    </row>
    <row r="101" spans="1:8" ht="75" x14ac:dyDescent="0.25">
      <c r="A101" s="363">
        <v>44844</v>
      </c>
      <c r="B101" s="336" t="s">
        <v>1954</v>
      </c>
      <c r="C101" s="336" t="s">
        <v>1955</v>
      </c>
      <c r="D101" s="351" t="s">
        <v>1956</v>
      </c>
      <c r="E101" s="336" t="s">
        <v>1957</v>
      </c>
      <c r="F101" s="390" t="s">
        <v>4069</v>
      </c>
      <c r="G101" s="391" t="s">
        <v>1443</v>
      </c>
      <c r="H101" s="354">
        <v>136046.5</v>
      </c>
    </row>
    <row r="102" spans="1:8" ht="75" x14ac:dyDescent="0.25">
      <c r="A102" s="363">
        <v>44844</v>
      </c>
      <c r="B102" s="336" t="s">
        <v>1954</v>
      </c>
      <c r="C102" s="336" t="s">
        <v>1958</v>
      </c>
      <c r="D102" s="351" t="s">
        <v>1956</v>
      </c>
      <c r="E102" s="336" t="s">
        <v>1959</v>
      </c>
      <c r="F102" s="390" t="s">
        <v>4068</v>
      </c>
      <c r="G102" s="391" t="s">
        <v>1443</v>
      </c>
      <c r="H102" s="354">
        <v>136046.5</v>
      </c>
    </row>
    <row r="103" spans="1:8" ht="75" x14ac:dyDescent="0.25">
      <c r="A103" s="363">
        <v>44844</v>
      </c>
      <c r="B103" s="336" t="s">
        <v>1954</v>
      </c>
      <c r="C103" s="336" t="s">
        <v>1960</v>
      </c>
      <c r="D103" s="351" t="s">
        <v>1956</v>
      </c>
      <c r="E103" s="389" t="s">
        <v>1971</v>
      </c>
      <c r="F103" s="390" t="s">
        <v>4067</v>
      </c>
      <c r="G103" s="391" t="s">
        <v>1443</v>
      </c>
      <c r="H103" s="354">
        <v>136046.5</v>
      </c>
    </row>
    <row r="104" spans="1:8" ht="60" x14ac:dyDescent="0.25">
      <c r="A104" s="363">
        <v>44844</v>
      </c>
      <c r="B104" s="336" t="s">
        <v>1954</v>
      </c>
      <c r="C104" s="336" t="s">
        <v>1962</v>
      </c>
      <c r="D104" s="351" t="s">
        <v>1956</v>
      </c>
      <c r="E104" s="336" t="s">
        <v>1963</v>
      </c>
      <c r="F104" s="390" t="s">
        <v>4070</v>
      </c>
      <c r="G104" s="391" t="s">
        <v>4072</v>
      </c>
      <c r="H104" s="354">
        <v>136046.5</v>
      </c>
    </row>
    <row r="105" spans="1:8" ht="60" x14ac:dyDescent="0.25">
      <c r="A105" s="363">
        <v>44844</v>
      </c>
      <c r="B105" s="336" t="s">
        <v>1954</v>
      </c>
      <c r="C105" s="336" t="s">
        <v>1964</v>
      </c>
      <c r="D105" s="351" t="s">
        <v>1956</v>
      </c>
      <c r="E105" s="389" t="s">
        <v>1969</v>
      </c>
      <c r="F105" s="390" t="s">
        <v>4070</v>
      </c>
      <c r="G105" s="391" t="s">
        <v>4072</v>
      </c>
      <c r="H105" s="354">
        <v>136046.5</v>
      </c>
    </row>
    <row r="106" spans="1:8" ht="60" x14ac:dyDescent="0.25">
      <c r="A106" s="363">
        <v>44844</v>
      </c>
      <c r="B106" s="336" t="s">
        <v>1954</v>
      </c>
      <c r="C106" s="336" t="s">
        <v>1966</v>
      </c>
      <c r="D106" s="351" t="s">
        <v>1956</v>
      </c>
      <c r="E106" s="336" t="s">
        <v>1967</v>
      </c>
      <c r="F106" s="390" t="s">
        <v>4070</v>
      </c>
      <c r="G106" s="391" t="s">
        <v>4072</v>
      </c>
      <c r="H106" s="354">
        <v>136046.5</v>
      </c>
    </row>
    <row r="107" spans="1:8" ht="60" x14ac:dyDescent="0.25">
      <c r="A107" s="363">
        <v>44844</v>
      </c>
      <c r="B107" s="336" t="s">
        <v>1954</v>
      </c>
      <c r="C107" s="336" t="s">
        <v>1968</v>
      </c>
      <c r="D107" s="351" t="s">
        <v>1956</v>
      </c>
      <c r="E107" s="389" t="s">
        <v>1965</v>
      </c>
      <c r="F107" s="390" t="s">
        <v>4066</v>
      </c>
      <c r="G107" s="391" t="s">
        <v>4073</v>
      </c>
      <c r="H107" s="354">
        <v>136046.5</v>
      </c>
    </row>
    <row r="108" spans="1:8" ht="60" x14ac:dyDescent="0.25">
      <c r="A108" s="363">
        <v>44844</v>
      </c>
      <c r="B108" s="336" t="s">
        <v>1954</v>
      </c>
      <c r="C108" s="336" t="s">
        <v>1970</v>
      </c>
      <c r="D108" s="351" t="s">
        <v>1956</v>
      </c>
      <c r="E108" s="389" t="s">
        <v>1975</v>
      </c>
      <c r="F108" s="390" t="s">
        <v>4066</v>
      </c>
      <c r="G108" s="391" t="s">
        <v>4073</v>
      </c>
      <c r="H108" s="354">
        <v>136046.5</v>
      </c>
    </row>
    <row r="109" spans="1:8" ht="90" x14ac:dyDescent="0.25">
      <c r="A109" s="363">
        <v>44844</v>
      </c>
      <c r="B109" s="336" t="s">
        <v>1954</v>
      </c>
      <c r="C109" s="336" t="s">
        <v>1972</v>
      </c>
      <c r="D109" s="351" t="s">
        <v>1956</v>
      </c>
      <c r="E109" s="336" t="s">
        <v>1973</v>
      </c>
      <c r="F109" s="390" t="s">
        <v>4071</v>
      </c>
      <c r="G109" s="391" t="s">
        <v>4074</v>
      </c>
      <c r="H109" s="354">
        <v>136046.5</v>
      </c>
    </row>
    <row r="110" spans="1:8" ht="90" x14ac:dyDescent="0.25">
      <c r="A110" s="363">
        <v>44844</v>
      </c>
      <c r="B110" s="336" t="s">
        <v>1954</v>
      </c>
      <c r="C110" s="336" t="s">
        <v>1974</v>
      </c>
      <c r="D110" s="351" t="s">
        <v>1956</v>
      </c>
      <c r="E110" s="389" t="s">
        <v>1961</v>
      </c>
      <c r="F110" s="390" t="s">
        <v>4065</v>
      </c>
      <c r="G110" s="391" t="s">
        <v>1443</v>
      </c>
      <c r="H110" s="354">
        <v>136046.5</v>
      </c>
    </row>
    <row r="111" spans="1:8" ht="76.5" x14ac:dyDescent="0.25">
      <c r="A111" s="363">
        <v>44853</v>
      </c>
      <c r="B111" s="336" t="s">
        <v>1976</v>
      </c>
      <c r="C111" s="336" t="s">
        <v>1977</v>
      </c>
      <c r="D111" s="393" t="s">
        <v>1978</v>
      </c>
      <c r="E111" s="336" t="s">
        <v>1979</v>
      </c>
      <c r="F111" s="336" t="s">
        <v>1796</v>
      </c>
      <c r="G111" s="352" t="s">
        <v>1594</v>
      </c>
      <c r="H111" s="354">
        <v>13086.2</v>
      </c>
    </row>
    <row r="112" spans="1:8" ht="76.5" x14ac:dyDescent="0.25">
      <c r="A112" s="363">
        <v>44853</v>
      </c>
      <c r="B112" s="336" t="s">
        <v>1976</v>
      </c>
      <c r="C112" s="336" t="s">
        <v>1980</v>
      </c>
      <c r="D112" s="393" t="s">
        <v>1978</v>
      </c>
      <c r="E112" s="336" t="s">
        <v>1981</v>
      </c>
      <c r="F112" s="336" t="s">
        <v>1796</v>
      </c>
      <c r="G112" s="352" t="s">
        <v>1594</v>
      </c>
      <c r="H112" s="354">
        <v>13086.2</v>
      </c>
    </row>
    <row r="113" spans="1:8" ht="76.5" x14ac:dyDescent="0.25">
      <c r="A113" s="363">
        <v>44853</v>
      </c>
      <c r="B113" s="336" t="s">
        <v>1976</v>
      </c>
      <c r="C113" s="336" t="s">
        <v>1982</v>
      </c>
      <c r="D113" s="393" t="s">
        <v>1978</v>
      </c>
      <c r="E113" s="336" t="s">
        <v>1983</v>
      </c>
      <c r="F113" s="336" t="s">
        <v>1796</v>
      </c>
      <c r="G113" s="352" t="s">
        <v>1594</v>
      </c>
      <c r="H113" s="354">
        <v>13086.2</v>
      </c>
    </row>
    <row r="114" spans="1:8" ht="76.5" x14ac:dyDescent="0.25">
      <c r="A114" s="363">
        <v>44853</v>
      </c>
      <c r="B114" s="336" t="s">
        <v>1976</v>
      </c>
      <c r="C114" s="336" t="s">
        <v>1984</v>
      </c>
      <c r="D114" s="393" t="s">
        <v>1978</v>
      </c>
      <c r="E114" s="336" t="s">
        <v>1985</v>
      </c>
      <c r="F114" s="336" t="s">
        <v>1796</v>
      </c>
      <c r="G114" s="352" t="s">
        <v>1594</v>
      </c>
      <c r="H114" s="354">
        <v>13086.2</v>
      </c>
    </row>
    <row r="115" spans="1:8" ht="76.5" x14ac:dyDescent="0.25">
      <c r="A115" s="363">
        <v>44853</v>
      </c>
      <c r="B115" s="336" t="s">
        <v>1976</v>
      </c>
      <c r="C115" s="336" t="s">
        <v>1986</v>
      </c>
      <c r="D115" s="393" t="s">
        <v>1978</v>
      </c>
      <c r="E115" s="336" t="s">
        <v>1987</v>
      </c>
      <c r="F115" s="336" t="s">
        <v>1796</v>
      </c>
      <c r="G115" s="352" t="s">
        <v>1594</v>
      </c>
      <c r="H115" s="354">
        <v>13086.2</v>
      </c>
    </row>
    <row r="116" spans="1:8" ht="76.5" x14ac:dyDescent="0.25">
      <c r="A116" s="363">
        <v>44853</v>
      </c>
      <c r="B116" s="336" t="s">
        <v>1976</v>
      </c>
      <c r="C116" s="336" t="s">
        <v>1988</v>
      </c>
      <c r="D116" s="393" t="s">
        <v>1978</v>
      </c>
      <c r="E116" s="336" t="s">
        <v>1989</v>
      </c>
      <c r="F116" s="336" t="s">
        <v>1796</v>
      </c>
      <c r="G116" s="352" t="s">
        <v>1594</v>
      </c>
      <c r="H116" s="354">
        <v>13086.2</v>
      </c>
    </row>
    <row r="117" spans="1:8" ht="76.5" x14ac:dyDescent="0.25">
      <c r="A117" s="363">
        <v>44853</v>
      </c>
      <c r="B117" s="336" t="s">
        <v>1976</v>
      </c>
      <c r="C117" s="336" t="s">
        <v>1990</v>
      </c>
      <c r="D117" s="393" t="s">
        <v>1978</v>
      </c>
      <c r="E117" s="336" t="s">
        <v>1991</v>
      </c>
      <c r="F117" s="336" t="s">
        <v>1796</v>
      </c>
      <c r="G117" s="352" t="s">
        <v>1594</v>
      </c>
      <c r="H117" s="354">
        <v>13086.2</v>
      </c>
    </row>
    <row r="118" spans="1:8" ht="76.5" x14ac:dyDescent="0.25">
      <c r="A118" s="363">
        <v>44853</v>
      </c>
      <c r="B118" s="336" t="s">
        <v>1976</v>
      </c>
      <c r="C118" s="336" t="s">
        <v>1992</v>
      </c>
      <c r="D118" s="393" t="s">
        <v>1978</v>
      </c>
      <c r="E118" s="336" t="s">
        <v>1993</v>
      </c>
      <c r="F118" s="336" t="s">
        <v>1796</v>
      </c>
      <c r="G118" s="352" t="s">
        <v>1594</v>
      </c>
      <c r="H118" s="354">
        <v>13086.2</v>
      </c>
    </row>
    <row r="119" spans="1:8" ht="76.5" x14ac:dyDescent="0.25">
      <c r="A119" s="363">
        <v>44853</v>
      </c>
      <c r="B119" s="336" t="s">
        <v>1976</v>
      </c>
      <c r="C119" s="336" t="s">
        <v>1994</v>
      </c>
      <c r="D119" s="393" t="s">
        <v>1978</v>
      </c>
      <c r="E119" s="336" t="s">
        <v>1995</v>
      </c>
      <c r="F119" s="336" t="s">
        <v>1796</v>
      </c>
      <c r="G119" s="352" t="s">
        <v>1594</v>
      </c>
      <c r="H119" s="354">
        <v>13086.2</v>
      </c>
    </row>
    <row r="120" spans="1:8" ht="76.5" x14ac:dyDescent="0.25">
      <c r="A120" s="363">
        <v>44853</v>
      </c>
      <c r="B120" s="336" t="s">
        <v>1976</v>
      </c>
      <c r="C120" s="336" t="s">
        <v>1996</v>
      </c>
      <c r="D120" s="393" t="s">
        <v>1978</v>
      </c>
      <c r="E120" s="336" t="s">
        <v>1997</v>
      </c>
      <c r="F120" s="336" t="s">
        <v>1796</v>
      </c>
      <c r="G120" s="352" t="s">
        <v>1594</v>
      </c>
      <c r="H120" s="354">
        <v>13086.2</v>
      </c>
    </row>
    <row r="121" spans="1:8" ht="76.5" x14ac:dyDescent="0.25">
      <c r="A121" s="363">
        <v>44853</v>
      </c>
      <c r="B121" s="336" t="s">
        <v>1976</v>
      </c>
      <c r="C121" s="336" t="s">
        <v>1998</v>
      </c>
      <c r="D121" s="393" t="s">
        <v>1999</v>
      </c>
      <c r="E121" s="336" t="s">
        <v>2000</v>
      </c>
      <c r="F121" s="336" t="s">
        <v>1796</v>
      </c>
      <c r="G121" s="352" t="s">
        <v>1594</v>
      </c>
      <c r="H121" s="354">
        <v>4498.16</v>
      </c>
    </row>
    <row r="122" spans="1:8" ht="76.5" x14ac:dyDescent="0.25">
      <c r="A122" s="363">
        <v>44853</v>
      </c>
      <c r="B122" s="336" t="s">
        <v>1976</v>
      </c>
      <c r="C122" s="336" t="s">
        <v>2001</v>
      </c>
      <c r="D122" s="393" t="s">
        <v>1999</v>
      </c>
      <c r="E122" s="336" t="s">
        <v>2002</v>
      </c>
      <c r="F122" s="336" t="s">
        <v>1796</v>
      </c>
      <c r="G122" s="352" t="s">
        <v>1594</v>
      </c>
      <c r="H122" s="354">
        <v>4498.16</v>
      </c>
    </row>
    <row r="123" spans="1:8" ht="76.5" x14ac:dyDescent="0.25">
      <c r="A123" s="363">
        <v>44853</v>
      </c>
      <c r="B123" s="336" t="s">
        <v>1976</v>
      </c>
      <c r="C123" s="336" t="s">
        <v>2003</v>
      </c>
      <c r="D123" s="393" t="s">
        <v>1999</v>
      </c>
      <c r="E123" s="336" t="s">
        <v>2004</v>
      </c>
      <c r="F123" s="336" t="s">
        <v>1796</v>
      </c>
      <c r="G123" s="352" t="s">
        <v>1594</v>
      </c>
      <c r="H123" s="354">
        <v>4498.16</v>
      </c>
    </row>
    <row r="124" spans="1:8" ht="76.5" x14ac:dyDescent="0.25">
      <c r="A124" s="363">
        <v>44853</v>
      </c>
      <c r="B124" s="336" t="s">
        <v>1976</v>
      </c>
      <c r="C124" s="336" t="s">
        <v>2005</v>
      </c>
      <c r="D124" s="393" t="s">
        <v>1999</v>
      </c>
      <c r="E124" s="336" t="s">
        <v>2006</v>
      </c>
      <c r="F124" s="336" t="s">
        <v>1796</v>
      </c>
      <c r="G124" s="352" t="s">
        <v>1594</v>
      </c>
      <c r="H124" s="354">
        <v>4498.16</v>
      </c>
    </row>
    <row r="125" spans="1:8" ht="76.5" x14ac:dyDescent="0.25">
      <c r="A125" s="363">
        <v>44853</v>
      </c>
      <c r="B125" s="336" t="s">
        <v>1976</v>
      </c>
      <c r="C125" s="336" t="s">
        <v>2007</v>
      </c>
      <c r="D125" s="393" t="s">
        <v>1999</v>
      </c>
      <c r="E125" s="336" t="s">
        <v>2008</v>
      </c>
      <c r="F125" s="336" t="s">
        <v>1796</v>
      </c>
      <c r="G125" s="352" t="s">
        <v>1594</v>
      </c>
      <c r="H125" s="354">
        <v>4498.16</v>
      </c>
    </row>
    <row r="126" spans="1:8" ht="76.5" x14ac:dyDescent="0.25">
      <c r="A126" s="363">
        <v>44853</v>
      </c>
      <c r="B126" s="336" t="s">
        <v>1976</v>
      </c>
      <c r="C126" s="336" t="s">
        <v>2009</v>
      </c>
      <c r="D126" s="393" t="s">
        <v>1999</v>
      </c>
      <c r="E126" s="336" t="s">
        <v>2010</v>
      </c>
      <c r="F126" s="336" t="s">
        <v>1796</v>
      </c>
      <c r="G126" s="352" t="s">
        <v>1594</v>
      </c>
      <c r="H126" s="354">
        <v>4498.16</v>
      </c>
    </row>
    <row r="127" spans="1:8" ht="76.5" x14ac:dyDescent="0.25">
      <c r="A127" s="363">
        <v>44853</v>
      </c>
      <c r="B127" s="336" t="s">
        <v>1976</v>
      </c>
      <c r="C127" s="336" t="s">
        <v>2011</v>
      </c>
      <c r="D127" s="393" t="s">
        <v>1999</v>
      </c>
      <c r="E127" s="336" t="s">
        <v>2012</v>
      </c>
      <c r="F127" s="336" t="s">
        <v>1796</v>
      </c>
      <c r="G127" s="352" t="s">
        <v>1594</v>
      </c>
      <c r="H127" s="354">
        <v>4498.16</v>
      </c>
    </row>
    <row r="128" spans="1:8" ht="76.5" x14ac:dyDescent="0.25">
      <c r="A128" s="363">
        <v>44853</v>
      </c>
      <c r="B128" s="336" t="s">
        <v>1976</v>
      </c>
      <c r="C128" s="336" t="s">
        <v>2013</v>
      </c>
      <c r="D128" s="393" t="s">
        <v>1999</v>
      </c>
      <c r="E128" s="336" t="s">
        <v>2014</v>
      </c>
      <c r="F128" s="336" t="s">
        <v>1796</v>
      </c>
      <c r="G128" s="352" t="s">
        <v>1594</v>
      </c>
      <c r="H128" s="354">
        <v>4498.16</v>
      </c>
    </row>
    <row r="129" spans="1:8" ht="76.5" x14ac:dyDescent="0.25">
      <c r="A129" s="363">
        <v>44853</v>
      </c>
      <c r="B129" s="336" t="s">
        <v>1976</v>
      </c>
      <c r="C129" s="336" t="s">
        <v>2015</v>
      </c>
      <c r="D129" s="393" t="s">
        <v>1999</v>
      </c>
      <c r="E129" s="336" t="s">
        <v>2016</v>
      </c>
      <c r="F129" s="336" t="s">
        <v>1796</v>
      </c>
      <c r="G129" s="352" t="s">
        <v>1594</v>
      </c>
      <c r="H129" s="354">
        <v>4498.16</v>
      </c>
    </row>
    <row r="130" spans="1:8" ht="76.5" x14ac:dyDescent="0.25">
      <c r="A130" s="363">
        <v>44853</v>
      </c>
      <c r="B130" s="336" t="s">
        <v>1976</v>
      </c>
      <c r="C130" s="336" t="s">
        <v>2017</v>
      </c>
      <c r="D130" s="393" t="s">
        <v>1999</v>
      </c>
      <c r="E130" s="336" t="s">
        <v>2018</v>
      </c>
      <c r="F130" s="336" t="s">
        <v>1796</v>
      </c>
      <c r="G130" s="352" t="s">
        <v>1594</v>
      </c>
      <c r="H130" s="354">
        <v>4498.16</v>
      </c>
    </row>
    <row r="131" spans="1:8" ht="76.5" x14ac:dyDescent="0.25">
      <c r="A131" s="363">
        <v>44853</v>
      </c>
      <c r="B131" s="336" t="s">
        <v>1976</v>
      </c>
      <c r="C131" s="336" t="s">
        <v>2019</v>
      </c>
      <c r="D131" s="393" t="s">
        <v>1798</v>
      </c>
      <c r="E131" s="336" t="s">
        <v>2020</v>
      </c>
      <c r="F131" s="336" t="s">
        <v>1796</v>
      </c>
      <c r="G131" s="352" t="s">
        <v>1594</v>
      </c>
      <c r="H131" s="354">
        <v>66039.88</v>
      </c>
    </row>
    <row r="132" spans="1:8" ht="76.5" x14ac:dyDescent="0.25">
      <c r="A132" s="363">
        <v>44853</v>
      </c>
      <c r="B132" s="336" t="s">
        <v>1976</v>
      </c>
      <c r="C132" s="336" t="s">
        <v>2021</v>
      </c>
      <c r="D132" s="393" t="s">
        <v>1798</v>
      </c>
      <c r="E132" s="336" t="s">
        <v>2022</v>
      </c>
      <c r="F132" s="336" t="s">
        <v>1796</v>
      </c>
      <c r="G132" s="352" t="s">
        <v>1594</v>
      </c>
      <c r="H132" s="354">
        <v>66039.88</v>
      </c>
    </row>
    <row r="133" spans="1:8" ht="76.5" x14ac:dyDescent="0.25">
      <c r="A133" s="363">
        <v>44853</v>
      </c>
      <c r="B133" s="336" t="s">
        <v>1976</v>
      </c>
      <c r="C133" s="336" t="s">
        <v>2023</v>
      </c>
      <c r="D133" s="393" t="s">
        <v>1798</v>
      </c>
      <c r="E133" s="336" t="s">
        <v>2024</v>
      </c>
      <c r="F133" s="336" t="s">
        <v>1796</v>
      </c>
      <c r="G133" s="352" t="s">
        <v>1594</v>
      </c>
      <c r="H133" s="354">
        <v>66039.88</v>
      </c>
    </row>
    <row r="134" spans="1:8" ht="76.5" x14ac:dyDescent="0.25">
      <c r="A134" s="363">
        <v>44853</v>
      </c>
      <c r="B134" s="336" t="s">
        <v>1976</v>
      </c>
      <c r="C134" s="336" t="s">
        <v>2025</v>
      </c>
      <c r="D134" s="393" t="s">
        <v>1798</v>
      </c>
      <c r="E134" s="336" t="s">
        <v>2026</v>
      </c>
      <c r="F134" s="336" t="s">
        <v>1796</v>
      </c>
      <c r="G134" s="352" t="s">
        <v>1594</v>
      </c>
      <c r="H134" s="354">
        <v>66039.88</v>
      </c>
    </row>
    <row r="135" spans="1:8" ht="76.5" x14ac:dyDescent="0.25">
      <c r="A135" s="363">
        <v>44853</v>
      </c>
      <c r="B135" s="336" t="s">
        <v>1976</v>
      </c>
      <c r="C135" s="336" t="s">
        <v>2027</v>
      </c>
      <c r="D135" s="393" t="s">
        <v>1798</v>
      </c>
      <c r="E135" s="336" t="s">
        <v>2028</v>
      </c>
      <c r="F135" s="336" t="s">
        <v>1796</v>
      </c>
      <c r="G135" s="352" t="s">
        <v>1594</v>
      </c>
      <c r="H135" s="354">
        <v>66039.88</v>
      </c>
    </row>
    <row r="136" spans="1:8" ht="76.5" x14ac:dyDescent="0.25">
      <c r="A136" s="363">
        <v>44853</v>
      </c>
      <c r="B136" s="336" t="s">
        <v>1976</v>
      </c>
      <c r="C136" s="336" t="s">
        <v>2029</v>
      </c>
      <c r="D136" s="393" t="s">
        <v>1798</v>
      </c>
      <c r="E136" s="336" t="s">
        <v>2030</v>
      </c>
      <c r="F136" s="336" t="s">
        <v>1796</v>
      </c>
      <c r="G136" s="352" t="s">
        <v>1594</v>
      </c>
      <c r="H136" s="354">
        <v>66039.88</v>
      </c>
    </row>
    <row r="137" spans="1:8" ht="76.5" x14ac:dyDescent="0.25">
      <c r="A137" s="363">
        <v>44853</v>
      </c>
      <c r="B137" s="336" t="s">
        <v>1976</v>
      </c>
      <c r="C137" s="336" t="s">
        <v>2031</v>
      </c>
      <c r="D137" s="393" t="s">
        <v>1798</v>
      </c>
      <c r="E137" s="336" t="s">
        <v>2032</v>
      </c>
      <c r="F137" s="336" t="s">
        <v>1796</v>
      </c>
      <c r="G137" s="352" t="s">
        <v>1594</v>
      </c>
      <c r="H137" s="354">
        <v>66039.88</v>
      </c>
    </row>
    <row r="138" spans="1:8" ht="76.5" x14ac:dyDescent="0.25">
      <c r="A138" s="363">
        <v>44853</v>
      </c>
      <c r="B138" s="336" t="s">
        <v>1976</v>
      </c>
      <c r="C138" s="336" t="s">
        <v>2033</v>
      </c>
      <c r="D138" s="393" t="s">
        <v>1798</v>
      </c>
      <c r="E138" s="336" t="s">
        <v>2034</v>
      </c>
      <c r="F138" s="336" t="s">
        <v>1796</v>
      </c>
      <c r="G138" s="352" t="s">
        <v>1594</v>
      </c>
      <c r="H138" s="354">
        <v>66039.88</v>
      </c>
    </row>
    <row r="139" spans="1:8" ht="76.5" x14ac:dyDescent="0.25">
      <c r="A139" s="363">
        <v>44853</v>
      </c>
      <c r="B139" s="336" t="s">
        <v>1976</v>
      </c>
      <c r="C139" s="336" t="s">
        <v>2035</v>
      </c>
      <c r="D139" s="393" t="s">
        <v>1798</v>
      </c>
      <c r="E139" s="336" t="s">
        <v>2036</v>
      </c>
      <c r="F139" s="336" t="s">
        <v>1796</v>
      </c>
      <c r="G139" s="352" t="s">
        <v>1594</v>
      </c>
      <c r="H139" s="354">
        <v>66039.88</v>
      </c>
    </row>
    <row r="140" spans="1:8" ht="76.5" x14ac:dyDescent="0.25">
      <c r="A140" s="363">
        <v>44853</v>
      </c>
      <c r="B140" s="336" t="s">
        <v>1976</v>
      </c>
      <c r="C140" s="364" t="s">
        <v>2037</v>
      </c>
      <c r="D140" s="393" t="s">
        <v>1798</v>
      </c>
      <c r="E140" s="336" t="s">
        <v>2038</v>
      </c>
      <c r="F140" s="336" t="s">
        <v>1796</v>
      </c>
      <c r="G140" s="352" t="s">
        <v>1594</v>
      </c>
      <c r="H140" s="354">
        <v>66039.88</v>
      </c>
    </row>
    <row r="141" spans="1:8" ht="76.5" x14ac:dyDescent="0.25">
      <c r="A141" s="363">
        <v>44883</v>
      </c>
      <c r="B141" s="336" t="s">
        <v>2039</v>
      </c>
      <c r="C141" s="336" t="s">
        <v>2040</v>
      </c>
      <c r="D141" s="351" t="s">
        <v>2041</v>
      </c>
      <c r="E141" s="365">
        <v>202205061512</v>
      </c>
      <c r="F141" s="336" t="s">
        <v>1796</v>
      </c>
      <c r="G141" s="352" t="s">
        <v>1594</v>
      </c>
      <c r="H141" s="354">
        <v>4956</v>
      </c>
    </row>
    <row r="142" spans="1:8" ht="76.5" x14ac:dyDescent="0.25">
      <c r="A142" s="363">
        <v>44883</v>
      </c>
      <c r="B142" s="336" t="s">
        <v>2039</v>
      </c>
      <c r="C142" s="336" t="s">
        <v>2043</v>
      </c>
      <c r="D142" s="351" t="s">
        <v>2041</v>
      </c>
      <c r="E142" s="365">
        <v>202205061028</v>
      </c>
      <c r="F142" s="336" t="s">
        <v>1796</v>
      </c>
      <c r="G142" s="352" t="s">
        <v>1594</v>
      </c>
      <c r="H142" s="354">
        <v>4956</v>
      </c>
    </row>
    <row r="143" spans="1:8" ht="76.5" x14ac:dyDescent="0.25">
      <c r="A143" s="363">
        <v>44883</v>
      </c>
      <c r="B143" s="336" t="s">
        <v>2039</v>
      </c>
      <c r="C143" s="336" t="s">
        <v>2044</v>
      </c>
      <c r="D143" s="351" t="s">
        <v>2041</v>
      </c>
      <c r="E143" s="365">
        <v>202205061485</v>
      </c>
      <c r="F143" s="336" t="s">
        <v>1796</v>
      </c>
      <c r="G143" s="352" t="s">
        <v>1594</v>
      </c>
      <c r="H143" s="354">
        <v>4956</v>
      </c>
    </row>
    <row r="144" spans="1:8" ht="76.5" x14ac:dyDescent="0.25">
      <c r="A144" s="363">
        <v>44883</v>
      </c>
      <c r="B144" s="336" t="s">
        <v>2039</v>
      </c>
      <c r="C144" s="336" t="s">
        <v>2045</v>
      </c>
      <c r="D144" s="351" t="s">
        <v>2041</v>
      </c>
      <c r="E144" s="365">
        <v>202205061046</v>
      </c>
      <c r="F144" s="336" t="s">
        <v>1796</v>
      </c>
      <c r="G144" s="352" t="s">
        <v>1594</v>
      </c>
      <c r="H144" s="354">
        <v>4956</v>
      </c>
    </row>
    <row r="145" spans="1:8" ht="76.5" x14ac:dyDescent="0.25">
      <c r="A145" s="363">
        <v>44883</v>
      </c>
      <c r="B145" s="336" t="s">
        <v>2039</v>
      </c>
      <c r="C145" s="336" t="s">
        <v>2046</v>
      </c>
      <c r="D145" s="351" t="s">
        <v>2041</v>
      </c>
      <c r="E145" s="365">
        <v>202205061500</v>
      </c>
      <c r="F145" s="336" t="s">
        <v>1796</v>
      </c>
      <c r="G145" s="352" t="s">
        <v>1594</v>
      </c>
      <c r="H145" s="354">
        <v>4956</v>
      </c>
    </row>
    <row r="146" spans="1:8" ht="76.5" x14ac:dyDescent="0.25">
      <c r="A146" s="363">
        <v>44883</v>
      </c>
      <c r="B146" s="336" t="s">
        <v>2039</v>
      </c>
      <c r="C146" s="336" t="s">
        <v>2047</v>
      </c>
      <c r="D146" s="351" t="s">
        <v>2041</v>
      </c>
      <c r="E146" s="365">
        <v>202205061476</v>
      </c>
      <c r="F146" s="336" t="s">
        <v>1796</v>
      </c>
      <c r="G146" s="352" t="s">
        <v>1594</v>
      </c>
      <c r="H146" s="354">
        <v>4956</v>
      </c>
    </row>
    <row r="147" spans="1:8" ht="76.5" x14ac:dyDescent="0.25">
      <c r="A147" s="363">
        <v>44883</v>
      </c>
      <c r="B147" s="336" t="s">
        <v>2039</v>
      </c>
      <c r="C147" s="336" t="s">
        <v>2049</v>
      </c>
      <c r="D147" s="351" t="s">
        <v>2041</v>
      </c>
      <c r="E147" s="365">
        <v>202205061492</v>
      </c>
      <c r="F147" s="336" t="s">
        <v>1796</v>
      </c>
      <c r="G147" s="352" t="s">
        <v>1594</v>
      </c>
      <c r="H147" s="354">
        <v>4956</v>
      </c>
    </row>
    <row r="148" spans="1:8" ht="76.5" x14ac:dyDescent="0.25">
      <c r="A148" s="363">
        <v>44883</v>
      </c>
      <c r="B148" s="336" t="s">
        <v>2039</v>
      </c>
      <c r="C148" s="336" t="s">
        <v>2050</v>
      </c>
      <c r="D148" s="351" t="s">
        <v>2041</v>
      </c>
      <c r="E148" s="365">
        <v>202205061502</v>
      </c>
      <c r="F148" s="336" t="s">
        <v>1796</v>
      </c>
      <c r="G148" s="352" t="s">
        <v>1594</v>
      </c>
      <c r="H148" s="354">
        <v>4956</v>
      </c>
    </row>
    <row r="149" spans="1:8" ht="76.5" x14ac:dyDescent="0.25">
      <c r="A149" s="363">
        <v>44883</v>
      </c>
      <c r="B149" s="336" t="s">
        <v>2039</v>
      </c>
      <c r="C149" s="336" t="s">
        <v>2051</v>
      </c>
      <c r="D149" s="351" t="s">
        <v>2041</v>
      </c>
      <c r="E149" s="365">
        <v>202205061473</v>
      </c>
      <c r="F149" s="336" t="s">
        <v>1796</v>
      </c>
      <c r="G149" s="352" t="s">
        <v>1594</v>
      </c>
      <c r="H149" s="354">
        <v>4956</v>
      </c>
    </row>
    <row r="150" spans="1:8" ht="76.5" x14ac:dyDescent="0.25">
      <c r="A150" s="363">
        <v>44883</v>
      </c>
      <c r="B150" s="336" t="s">
        <v>2039</v>
      </c>
      <c r="C150" s="336" t="s">
        <v>2052</v>
      </c>
      <c r="D150" s="351" t="s">
        <v>2041</v>
      </c>
      <c r="E150" s="365">
        <v>202205061499</v>
      </c>
      <c r="F150" s="336" t="s">
        <v>1796</v>
      </c>
      <c r="G150" s="352" t="s">
        <v>1594</v>
      </c>
      <c r="H150" s="354">
        <v>4956</v>
      </c>
    </row>
    <row r="151" spans="1:8" ht="76.5" x14ac:dyDescent="0.25">
      <c r="A151" s="363">
        <v>44883</v>
      </c>
      <c r="B151" s="336" t="s">
        <v>2039</v>
      </c>
      <c r="C151" s="336" t="s">
        <v>2053</v>
      </c>
      <c r="D151" s="351" t="s">
        <v>2041</v>
      </c>
      <c r="E151" s="365">
        <v>202205061510</v>
      </c>
      <c r="F151" s="336" t="s">
        <v>1796</v>
      </c>
      <c r="G151" s="352" t="s">
        <v>1594</v>
      </c>
      <c r="H151" s="354">
        <v>4956</v>
      </c>
    </row>
    <row r="152" spans="1:8" ht="76.5" x14ac:dyDescent="0.25">
      <c r="A152" s="363">
        <v>44883</v>
      </c>
      <c r="B152" s="336" t="s">
        <v>2039</v>
      </c>
      <c r="C152" s="336" t="s">
        <v>2054</v>
      </c>
      <c r="D152" s="351" t="s">
        <v>2041</v>
      </c>
      <c r="E152" s="365">
        <v>202205061017</v>
      </c>
      <c r="F152" s="336" t="s">
        <v>1796</v>
      </c>
      <c r="G152" s="352" t="s">
        <v>1594</v>
      </c>
      <c r="H152" s="354">
        <v>4956</v>
      </c>
    </row>
    <row r="153" spans="1:8" ht="76.5" x14ac:dyDescent="0.25">
      <c r="A153" s="363">
        <v>44883</v>
      </c>
      <c r="B153" s="336" t="s">
        <v>2039</v>
      </c>
      <c r="C153" s="336" t="s">
        <v>2055</v>
      </c>
      <c r="D153" s="351" t="s">
        <v>2041</v>
      </c>
      <c r="E153" s="365">
        <v>202205061026</v>
      </c>
      <c r="F153" s="336" t="s">
        <v>1796</v>
      </c>
      <c r="G153" s="352" t="s">
        <v>1594</v>
      </c>
      <c r="H153" s="354">
        <v>4956</v>
      </c>
    </row>
    <row r="154" spans="1:8" ht="76.5" x14ac:dyDescent="0.25">
      <c r="A154" s="363">
        <v>44883</v>
      </c>
      <c r="B154" s="336" t="s">
        <v>2039</v>
      </c>
      <c r="C154" s="336" t="s">
        <v>2056</v>
      </c>
      <c r="D154" s="351" t="s">
        <v>2041</v>
      </c>
      <c r="E154" s="365">
        <v>202205061508</v>
      </c>
      <c r="F154" s="336" t="s">
        <v>1796</v>
      </c>
      <c r="G154" s="352" t="s">
        <v>1594</v>
      </c>
      <c r="H154" s="354">
        <v>4956</v>
      </c>
    </row>
    <row r="155" spans="1:8" ht="76.5" x14ac:dyDescent="0.25">
      <c r="A155" s="363">
        <v>44883</v>
      </c>
      <c r="B155" s="336" t="s">
        <v>2039</v>
      </c>
      <c r="C155" s="336" t="s">
        <v>2057</v>
      </c>
      <c r="D155" s="351" t="s">
        <v>2041</v>
      </c>
      <c r="E155" s="365">
        <v>202205061477</v>
      </c>
      <c r="F155" s="336" t="s">
        <v>1796</v>
      </c>
      <c r="G155" s="352" t="s">
        <v>1594</v>
      </c>
      <c r="H155" s="354">
        <v>4956</v>
      </c>
    </row>
    <row r="156" spans="1:8" ht="76.5" x14ac:dyDescent="0.25">
      <c r="A156" s="363">
        <v>44883</v>
      </c>
      <c r="B156" s="336" t="s">
        <v>2039</v>
      </c>
      <c r="C156" s="336" t="s">
        <v>2058</v>
      </c>
      <c r="D156" s="351" t="s">
        <v>2041</v>
      </c>
      <c r="E156" s="365">
        <v>202205061504</v>
      </c>
      <c r="F156" s="336" t="s">
        <v>1796</v>
      </c>
      <c r="G156" s="352" t="s">
        <v>1594</v>
      </c>
      <c r="H156" s="354">
        <v>4956</v>
      </c>
    </row>
    <row r="157" spans="1:8" ht="76.5" x14ac:dyDescent="0.25">
      <c r="A157" s="363">
        <v>44883</v>
      </c>
      <c r="B157" s="336" t="s">
        <v>2039</v>
      </c>
      <c r="C157" s="336" t="s">
        <v>2059</v>
      </c>
      <c r="D157" s="351" t="s">
        <v>2041</v>
      </c>
      <c r="E157" s="365">
        <v>202205061048</v>
      </c>
      <c r="F157" s="336" t="s">
        <v>1796</v>
      </c>
      <c r="G157" s="352" t="s">
        <v>1594</v>
      </c>
      <c r="H157" s="354">
        <v>4956</v>
      </c>
    </row>
    <row r="158" spans="1:8" ht="76.5" x14ac:dyDescent="0.25">
      <c r="A158" s="363">
        <v>44883</v>
      </c>
      <c r="B158" s="336" t="s">
        <v>2039</v>
      </c>
      <c r="C158" s="336" t="s">
        <v>2060</v>
      </c>
      <c r="D158" s="351" t="s">
        <v>2041</v>
      </c>
      <c r="E158" s="365">
        <v>202205061020</v>
      </c>
      <c r="F158" s="336" t="s">
        <v>1796</v>
      </c>
      <c r="G158" s="352" t="s">
        <v>1594</v>
      </c>
      <c r="H158" s="354">
        <v>4956</v>
      </c>
    </row>
    <row r="159" spans="1:8" ht="76.5" x14ac:dyDescent="0.25">
      <c r="A159" s="363">
        <v>44883</v>
      </c>
      <c r="B159" s="336" t="s">
        <v>2039</v>
      </c>
      <c r="C159" s="336" t="s">
        <v>2061</v>
      </c>
      <c r="D159" s="351" t="s">
        <v>2041</v>
      </c>
      <c r="E159" s="365">
        <v>202205061019</v>
      </c>
      <c r="F159" s="336" t="s">
        <v>1796</v>
      </c>
      <c r="G159" s="352" t="s">
        <v>1594</v>
      </c>
      <c r="H159" s="354">
        <v>4956</v>
      </c>
    </row>
    <row r="160" spans="1:8" ht="76.5" x14ac:dyDescent="0.25">
      <c r="A160" s="363">
        <v>44883</v>
      </c>
      <c r="B160" s="336" t="s">
        <v>2039</v>
      </c>
      <c r="C160" s="336" t="s">
        <v>2062</v>
      </c>
      <c r="D160" s="351" t="s">
        <v>2041</v>
      </c>
      <c r="E160" s="365">
        <v>202205061509</v>
      </c>
      <c r="F160" s="336" t="s">
        <v>1796</v>
      </c>
      <c r="G160" s="352" t="s">
        <v>1594</v>
      </c>
      <c r="H160" s="354">
        <v>4956</v>
      </c>
    </row>
    <row r="161" spans="1:8" ht="76.5" x14ac:dyDescent="0.25">
      <c r="A161" s="363">
        <v>44883</v>
      </c>
      <c r="B161" s="336" t="s">
        <v>2039</v>
      </c>
      <c r="C161" s="336" t="s">
        <v>2063</v>
      </c>
      <c r="D161" s="351" t="s">
        <v>2041</v>
      </c>
      <c r="E161" s="365">
        <v>202205061479</v>
      </c>
      <c r="F161" s="336" t="s">
        <v>1796</v>
      </c>
      <c r="G161" s="352" t="s">
        <v>1594</v>
      </c>
      <c r="H161" s="354">
        <v>4956</v>
      </c>
    </row>
    <row r="162" spans="1:8" ht="76.5" x14ac:dyDescent="0.25">
      <c r="A162" s="363">
        <v>44883</v>
      </c>
      <c r="B162" s="336" t="s">
        <v>2039</v>
      </c>
      <c r="C162" s="336" t="s">
        <v>2064</v>
      </c>
      <c r="D162" s="351" t="s">
        <v>2041</v>
      </c>
      <c r="E162" s="365">
        <v>202205061481</v>
      </c>
      <c r="F162" s="336" t="s">
        <v>1796</v>
      </c>
      <c r="G162" s="352" t="s">
        <v>1594</v>
      </c>
      <c r="H162" s="354">
        <v>4956</v>
      </c>
    </row>
    <row r="163" spans="1:8" ht="76.5" x14ac:dyDescent="0.25">
      <c r="A163" s="363">
        <v>44883</v>
      </c>
      <c r="B163" s="336" t="s">
        <v>2039</v>
      </c>
      <c r="C163" s="336" t="s">
        <v>2065</v>
      </c>
      <c r="D163" s="351" t="s">
        <v>2041</v>
      </c>
      <c r="E163" s="365">
        <v>202205061496</v>
      </c>
      <c r="F163" s="336" t="s">
        <v>1796</v>
      </c>
      <c r="G163" s="352" t="s">
        <v>1594</v>
      </c>
      <c r="H163" s="354">
        <v>4956</v>
      </c>
    </row>
    <row r="164" spans="1:8" ht="76.5" x14ac:dyDescent="0.25">
      <c r="A164" s="363">
        <v>44883</v>
      </c>
      <c r="B164" s="336" t="s">
        <v>2039</v>
      </c>
      <c r="C164" s="336" t="s">
        <v>2066</v>
      </c>
      <c r="D164" s="351" t="s">
        <v>2041</v>
      </c>
      <c r="E164" s="365">
        <v>202205061503</v>
      </c>
      <c r="F164" s="336" t="s">
        <v>1796</v>
      </c>
      <c r="G164" s="352" t="s">
        <v>1594</v>
      </c>
      <c r="H164" s="354">
        <v>4956</v>
      </c>
    </row>
    <row r="165" spans="1:8" ht="76.5" x14ac:dyDescent="0.25">
      <c r="A165" s="363">
        <v>44883</v>
      </c>
      <c r="B165" s="336" t="s">
        <v>2039</v>
      </c>
      <c r="C165" s="336" t="s">
        <v>2067</v>
      </c>
      <c r="D165" s="351" t="s">
        <v>2041</v>
      </c>
      <c r="E165" s="365">
        <v>202205061497</v>
      </c>
      <c r="F165" s="336" t="s">
        <v>1796</v>
      </c>
      <c r="G165" s="352" t="s">
        <v>1594</v>
      </c>
      <c r="H165" s="354">
        <v>4956</v>
      </c>
    </row>
    <row r="166" spans="1:8" ht="76.5" x14ac:dyDescent="0.25">
      <c r="A166" s="363">
        <v>44883</v>
      </c>
      <c r="B166" s="336" t="s">
        <v>2039</v>
      </c>
      <c r="C166" s="336" t="s">
        <v>2068</v>
      </c>
      <c r="D166" s="351" t="s">
        <v>2041</v>
      </c>
      <c r="E166" s="365">
        <v>202205061027</v>
      </c>
      <c r="F166" s="336" t="s">
        <v>1796</v>
      </c>
      <c r="G166" s="352" t="s">
        <v>1594</v>
      </c>
      <c r="H166" s="354">
        <v>4956</v>
      </c>
    </row>
    <row r="167" spans="1:8" ht="76.5" x14ac:dyDescent="0.25">
      <c r="A167" s="363">
        <v>44883</v>
      </c>
      <c r="B167" s="336" t="s">
        <v>2039</v>
      </c>
      <c r="C167" s="336" t="s">
        <v>2069</v>
      </c>
      <c r="D167" s="351" t="s">
        <v>2041</v>
      </c>
      <c r="E167" s="365">
        <v>202205061507</v>
      </c>
      <c r="F167" s="336" t="s">
        <v>1796</v>
      </c>
      <c r="G167" s="352" t="s">
        <v>1594</v>
      </c>
      <c r="H167" s="354">
        <v>4956</v>
      </c>
    </row>
    <row r="168" spans="1:8" ht="76.5" x14ac:dyDescent="0.25">
      <c r="A168" s="363">
        <v>44883</v>
      </c>
      <c r="B168" s="336" t="s">
        <v>2039</v>
      </c>
      <c r="C168" s="336" t="s">
        <v>2070</v>
      </c>
      <c r="D168" s="351" t="s">
        <v>2041</v>
      </c>
      <c r="E168" s="365">
        <v>202205061498</v>
      </c>
      <c r="F168" s="336" t="s">
        <v>1796</v>
      </c>
      <c r="G168" s="352" t="s">
        <v>1594</v>
      </c>
      <c r="H168" s="354">
        <v>4956</v>
      </c>
    </row>
    <row r="169" spans="1:8" ht="76.5" x14ac:dyDescent="0.25">
      <c r="A169" s="363">
        <v>44883</v>
      </c>
      <c r="B169" s="336" t="s">
        <v>2039</v>
      </c>
      <c r="C169" s="336" t="s">
        <v>2071</v>
      </c>
      <c r="D169" s="351" t="s">
        <v>2041</v>
      </c>
      <c r="E169" s="365">
        <v>202205061043</v>
      </c>
      <c r="F169" s="336" t="s">
        <v>1796</v>
      </c>
      <c r="G169" s="352" t="s">
        <v>1594</v>
      </c>
      <c r="H169" s="354">
        <v>4956</v>
      </c>
    </row>
    <row r="170" spans="1:8" ht="76.5" x14ac:dyDescent="0.25">
      <c r="A170" s="363">
        <v>44883</v>
      </c>
      <c r="B170" s="336" t="s">
        <v>2039</v>
      </c>
      <c r="C170" s="336" t="s">
        <v>2072</v>
      </c>
      <c r="D170" s="351" t="s">
        <v>2041</v>
      </c>
      <c r="E170" s="365">
        <v>202205061493</v>
      </c>
      <c r="F170" s="336" t="s">
        <v>1796</v>
      </c>
      <c r="G170" s="352" t="s">
        <v>1594</v>
      </c>
      <c r="H170" s="354">
        <v>4956</v>
      </c>
    </row>
    <row r="171" spans="1:8" ht="76.5" x14ac:dyDescent="0.25">
      <c r="A171" s="363">
        <v>44883</v>
      </c>
      <c r="B171" s="336" t="s">
        <v>2039</v>
      </c>
      <c r="C171" s="336" t="s">
        <v>2073</v>
      </c>
      <c r="D171" s="351" t="s">
        <v>2041</v>
      </c>
      <c r="E171" s="365">
        <v>202205061475</v>
      </c>
      <c r="F171" s="336" t="s">
        <v>1796</v>
      </c>
      <c r="G171" s="352" t="s">
        <v>1594</v>
      </c>
      <c r="H171" s="354">
        <v>4956</v>
      </c>
    </row>
    <row r="172" spans="1:8" ht="76.5" x14ac:dyDescent="0.25">
      <c r="A172" s="363">
        <v>44883</v>
      </c>
      <c r="B172" s="336" t="s">
        <v>2039</v>
      </c>
      <c r="C172" s="336" t="s">
        <v>2074</v>
      </c>
      <c r="D172" s="351" t="s">
        <v>2041</v>
      </c>
      <c r="E172" s="365">
        <v>202205061478</v>
      </c>
      <c r="F172" s="336" t="s">
        <v>1796</v>
      </c>
      <c r="G172" s="352" t="s">
        <v>1594</v>
      </c>
      <c r="H172" s="354">
        <v>4956</v>
      </c>
    </row>
    <row r="173" spans="1:8" ht="76.5" x14ac:dyDescent="0.25">
      <c r="A173" s="363">
        <v>44883</v>
      </c>
      <c r="B173" s="336" t="s">
        <v>2039</v>
      </c>
      <c r="C173" s="336" t="s">
        <v>2075</v>
      </c>
      <c r="D173" s="351" t="s">
        <v>2041</v>
      </c>
      <c r="E173" s="365">
        <v>202205061511</v>
      </c>
      <c r="F173" s="336" t="s">
        <v>1796</v>
      </c>
      <c r="G173" s="352" t="s">
        <v>1594</v>
      </c>
      <c r="H173" s="354">
        <v>4956</v>
      </c>
    </row>
    <row r="174" spans="1:8" ht="76.5" x14ac:dyDescent="0.25">
      <c r="A174" s="363">
        <v>44883</v>
      </c>
      <c r="B174" s="336" t="s">
        <v>2039</v>
      </c>
      <c r="C174" s="336" t="s">
        <v>2076</v>
      </c>
      <c r="D174" s="351" t="s">
        <v>2041</v>
      </c>
      <c r="E174" s="365">
        <v>202205061490</v>
      </c>
      <c r="F174" s="336" t="s">
        <v>1796</v>
      </c>
      <c r="G174" s="352" t="s">
        <v>1594</v>
      </c>
      <c r="H174" s="354">
        <v>4956</v>
      </c>
    </row>
    <row r="175" spans="1:8" ht="76.5" x14ac:dyDescent="0.25">
      <c r="A175" s="363">
        <v>44883</v>
      </c>
      <c r="B175" s="336" t="s">
        <v>2039</v>
      </c>
      <c r="C175" s="336" t="s">
        <v>2077</v>
      </c>
      <c r="D175" s="351" t="s">
        <v>2041</v>
      </c>
      <c r="E175" s="365">
        <v>202205061484</v>
      </c>
      <c r="F175" s="336" t="s">
        <v>1796</v>
      </c>
      <c r="G175" s="352" t="s">
        <v>1594</v>
      </c>
      <c r="H175" s="354">
        <v>4956</v>
      </c>
    </row>
    <row r="176" spans="1:8" ht="76.5" x14ac:dyDescent="0.25">
      <c r="A176" s="363">
        <v>44883</v>
      </c>
      <c r="B176" s="336" t="s">
        <v>2039</v>
      </c>
      <c r="C176" s="336" t="s">
        <v>2078</v>
      </c>
      <c r="D176" s="351" t="s">
        <v>2041</v>
      </c>
      <c r="E176" s="365">
        <v>202205061472</v>
      </c>
      <c r="F176" s="336" t="s">
        <v>1796</v>
      </c>
      <c r="G176" s="352" t="s">
        <v>1594</v>
      </c>
      <c r="H176" s="354">
        <v>4956</v>
      </c>
    </row>
    <row r="177" spans="1:8" ht="76.5" x14ac:dyDescent="0.25">
      <c r="A177" s="363">
        <v>44883</v>
      </c>
      <c r="B177" s="336" t="s">
        <v>2039</v>
      </c>
      <c r="C177" s="336" t="s">
        <v>2079</v>
      </c>
      <c r="D177" s="351" t="s">
        <v>2041</v>
      </c>
      <c r="E177" s="365">
        <v>202205061501</v>
      </c>
      <c r="F177" s="336" t="s">
        <v>1796</v>
      </c>
      <c r="G177" s="352" t="s">
        <v>1594</v>
      </c>
      <c r="H177" s="354">
        <v>4956</v>
      </c>
    </row>
    <row r="178" spans="1:8" ht="76.5" x14ac:dyDescent="0.25">
      <c r="A178" s="363">
        <v>44883</v>
      </c>
      <c r="B178" s="336" t="s">
        <v>2039</v>
      </c>
      <c r="C178" s="336" t="s">
        <v>2080</v>
      </c>
      <c r="D178" s="351" t="s">
        <v>2041</v>
      </c>
      <c r="E178" s="365">
        <v>202205061495</v>
      </c>
      <c r="F178" s="336" t="s">
        <v>1796</v>
      </c>
      <c r="G178" s="352" t="s">
        <v>1594</v>
      </c>
      <c r="H178" s="354">
        <v>4956</v>
      </c>
    </row>
    <row r="179" spans="1:8" ht="76.5" x14ac:dyDescent="0.25">
      <c r="A179" s="363">
        <v>44883</v>
      </c>
      <c r="B179" s="336" t="s">
        <v>2039</v>
      </c>
      <c r="C179" s="336" t="s">
        <v>2081</v>
      </c>
      <c r="D179" s="351" t="s">
        <v>2041</v>
      </c>
      <c r="E179" s="365">
        <v>202205061505</v>
      </c>
      <c r="F179" s="336" t="s">
        <v>1796</v>
      </c>
      <c r="G179" s="352" t="s">
        <v>1594</v>
      </c>
      <c r="H179" s="354">
        <v>4956</v>
      </c>
    </row>
    <row r="180" spans="1:8" ht="76.5" x14ac:dyDescent="0.25">
      <c r="A180" s="363">
        <v>44883</v>
      </c>
      <c r="B180" s="336" t="s">
        <v>2039</v>
      </c>
      <c r="C180" s="336" t="s">
        <v>2082</v>
      </c>
      <c r="D180" s="351" t="s">
        <v>2041</v>
      </c>
      <c r="E180" s="365">
        <v>202205061486</v>
      </c>
      <c r="F180" s="336" t="s">
        <v>1796</v>
      </c>
      <c r="G180" s="352" t="s">
        <v>1594</v>
      </c>
      <c r="H180" s="354">
        <v>4956</v>
      </c>
    </row>
    <row r="181" spans="1:8" ht="76.5" x14ac:dyDescent="0.25">
      <c r="A181" s="363">
        <v>44883</v>
      </c>
      <c r="B181" s="336" t="s">
        <v>2039</v>
      </c>
      <c r="C181" s="336" t="s">
        <v>2083</v>
      </c>
      <c r="D181" s="351" t="s">
        <v>2041</v>
      </c>
      <c r="E181" s="365">
        <v>202205061489</v>
      </c>
      <c r="F181" s="336" t="s">
        <v>1796</v>
      </c>
      <c r="G181" s="352" t="s">
        <v>1594</v>
      </c>
      <c r="H181" s="354">
        <v>4956</v>
      </c>
    </row>
    <row r="182" spans="1:8" ht="76.5" x14ac:dyDescent="0.25">
      <c r="A182" s="363">
        <v>44883</v>
      </c>
      <c r="B182" s="336" t="s">
        <v>2039</v>
      </c>
      <c r="C182" s="336" t="s">
        <v>2084</v>
      </c>
      <c r="D182" s="351" t="s">
        <v>2041</v>
      </c>
      <c r="E182" s="365">
        <v>202205061506</v>
      </c>
      <c r="F182" s="336" t="s">
        <v>1796</v>
      </c>
      <c r="G182" s="352" t="s">
        <v>1594</v>
      </c>
      <c r="H182" s="354">
        <v>4956</v>
      </c>
    </row>
    <row r="183" spans="1:8" ht="76.5" x14ac:dyDescent="0.25">
      <c r="A183" s="363">
        <v>44883</v>
      </c>
      <c r="B183" s="336" t="s">
        <v>2039</v>
      </c>
      <c r="C183" s="336" t="s">
        <v>2085</v>
      </c>
      <c r="D183" s="351" t="s">
        <v>2041</v>
      </c>
      <c r="E183" s="365">
        <v>202205061487</v>
      </c>
      <c r="F183" s="336" t="s">
        <v>1796</v>
      </c>
      <c r="G183" s="352" t="s">
        <v>1594</v>
      </c>
      <c r="H183" s="354">
        <v>4956</v>
      </c>
    </row>
    <row r="184" spans="1:8" ht="76.5" x14ac:dyDescent="0.25">
      <c r="A184" s="363">
        <v>44883</v>
      </c>
      <c r="B184" s="336" t="s">
        <v>2039</v>
      </c>
      <c r="C184" s="336" t="s">
        <v>2086</v>
      </c>
      <c r="D184" s="351" t="s">
        <v>2041</v>
      </c>
      <c r="E184" s="365">
        <v>202205061032</v>
      </c>
      <c r="F184" s="336" t="s">
        <v>1796</v>
      </c>
      <c r="G184" s="352" t="s">
        <v>1594</v>
      </c>
      <c r="H184" s="354">
        <v>4956</v>
      </c>
    </row>
    <row r="185" spans="1:8" ht="76.5" x14ac:dyDescent="0.25">
      <c r="A185" s="363">
        <v>44883</v>
      </c>
      <c r="B185" s="336" t="s">
        <v>2039</v>
      </c>
      <c r="C185" s="336" t="s">
        <v>2087</v>
      </c>
      <c r="D185" s="351" t="s">
        <v>2041</v>
      </c>
      <c r="E185" s="365">
        <v>202205061491</v>
      </c>
      <c r="F185" s="336" t="s">
        <v>1796</v>
      </c>
      <c r="G185" s="352" t="s">
        <v>1594</v>
      </c>
      <c r="H185" s="354">
        <v>4956</v>
      </c>
    </row>
    <row r="186" spans="1:8" ht="76.5" x14ac:dyDescent="0.25">
      <c r="A186" s="363">
        <v>44883</v>
      </c>
      <c r="B186" s="336" t="s">
        <v>2039</v>
      </c>
      <c r="C186" s="336" t="s">
        <v>2088</v>
      </c>
      <c r="D186" s="351" t="s">
        <v>2041</v>
      </c>
      <c r="E186" s="365">
        <v>202205061474</v>
      </c>
      <c r="F186" s="336" t="s">
        <v>1796</v>
      </c>
      <c r="G186" s="352" t="s">
        <v>1594</v>
      </c>
      <c r="H186" s="354">
        <v>4956</v>
      </c>
    </row>
    <row r="187" spans="1:8" ht="76.5" x14ac:dyDescent="0.25">
      <c r="A187" s="363">
        <v>44883</v>
      </c>
      <c r="B187" s="336" t="s">
        <v>2039</v>
      </c>
      <c r="C187" s="336" t="s">
        <v>2089</v>
      </c>
      <c r="D187" s="351" t="s">
        <v>2041</v>
      </c>
      <c r="E187" s="365">
        <v>202205061471</v>
      </c>
      <c r="F187" s="336" t="s">
        <v>1796</v>
      </c>
      <c r="G187" s="352" t="s">
        <v>1594</v>
      </c>
      <c r="H187" s="354">
        <v>4956</v>
      </c>
    </row>
    <row r="188" spans="1:8" ht="76.5" x14ac:dyDescent="0.25">
      <c r="A188" s="363">
        <v>44883</v>
      </c>
      <c r="B188" s="336" t="s">
        <v>2039</v>
      </c>
      <c r="C188" s="336" t="s">
        <v>2090</v>
      </c>
      <c r="D188" s="351" t="s">
        <v>2041</v>
      </c>
      <c r="E188" s="365">
        <v>202205061494</v>
      </c>
      <c r="F188" s="336" t="s">
        <v>1796</v>
      </c>
      <c r="G188" s="352" t="s">
        <v>1594</v>
      </c>
      <c r="H188" s="354">
        <v>4956</v>
      </c>
    </row>
    <row r="189" spans="1:8" ht="76.5" x14ac:dyDescent="0.25">
      <c r="A189" s="363">
        <v>44883</v>
      </c>
      <c r="B189" s="336" t="s">
        <v>2039</v>
      </c>
      <c r="C189" s="336" t="s">
        <v>2091</v>
      </c>
      <c r="D189" s="351" t="s">
        <v>2041</v>
      </c>
      <c r="E189" s="365">
        <v>202205061018</v>
      </c>
      <c r="F189" s="336" t="s">
        <v>1796</v>
      </c>
      <c r="G189" s="352" t="s">
        <v>1594</v>
      </c>
      <c r="H189" s="354">
        <v>4956</v>
      </c>
    </row>
    <row r="190" spans="1:8" ht="76.5" x14ac:dyDescent="0.25">
      <c r="A190" s="363">
        <v>44883</v>
      </c>
      <c r="B190" s="336" t="s">
        <v>2039</v>
      </c>
      <c r="C190" s="336" t="s">
        <v>2092</v>
      </c>
      <c r="D190" s="351" t="s">
        <v>2041</v>
      </c>
      <c r="E190" s="365">
        <v>202205061488</v>
      </c>
      <c r="F190" s="336" t="s">
        <v>1796</v>
      </c>
      <c r="G190" s="352" t="s">
        <v>1594</v>
      </c>
      <c r="H190" s="354">
        <v>4956</v>
      </c>
    </row>
    <row r="191" spans="1:8" ht="76.5" x14ac:dyDescent="0.25">
      <c r="A191" s="363">
        <v>44883</v>
      </c>
      <c r="B191" s="336" t="s">
        <v>2039</v>
      </c>
      <c r="C191" s="336" t="s">
        <v>2093</v>
      </c>
      <c r="D191" s="351" t="s">
        <v>2041</v>
      </c>
      <c r="E191" s="365">
        <v>202205061482</v>
      </c>
      <c r="F191" s="336" t="s">
        <v>1796</v>
      </c>
      <c r="G191" s="352" t="s">
        <v>1594</v>
      </c>
      <c r="H191" s="354">
        <v>4956</v>
      </c>
    </row>
    <row r="192" spans="1:8" ht="76.5" x14ac:dyDescent="0.25">
      <c r="A192" s="363">
        <v>44883</v>
      </c>
      <c r="B192" s="336" t="s">
        <v>2039</v>
      </c>
      <c r="C192" s="336" t="s">
        <v>2094</v>
      </c>
      <c r="D192" s="351" t="s">
        <v>2041</v>
      </c>
      <c r="E192" s="365">
        <v>202205061025</v>
      </c>
      <c r="F192" s="336" t="s">
        <v>1796</v>
      </c>
      <c r="G192" s="352" t="s">
        <v>1594</v>
      </c>
      <c r="H192" s="354">
        <v>4956</v>
      </c>
    </row>
    <row r="193" spans="1:8" ht="76.5" x14ac:dyDescent="0.25">
      <c r="A193" s="363">
        <v>44883</v>
      </c>
      <c r="B193" s="336" t="s">
        <v>2039</v>
      </c>
      <c r="C193" s="336" t="s">
        <v>2095</v>
      </c>
      <c r="D193" s="351" t="s">
        <v>2041</v>
      </c>
      <c r="E193" s="365">
        <v>202205061480</v>
      </c>
      <c r="F193" s="336" t="s">
        <v>1796</v>
      </c>
      <c r="G193" s="352" t="s">
        <v>1594</v>
      </c>
      <c r="H193" s="354">
        <v>4956</v>
      </c>
    </row>
    <row r="194" spans="1:8" ht="76.5" x14ac:dyDescent="0.25">
      <c r="A194" s="363">
        <v>44883</v>
      </c>
      <c r="B194" s="336" t="s">
        <v>2039</v>
      </c>
      <c r="C194" s="336" t="s">
        <v>2096</v>
      </c>
      <c r="D194" s="351" t="s">
        <v>2041</v>
      </c>
      <c r="E194" s="365">
        <v>202205061483</v>
      </c>
      <c r="F194" s="336" t="s">
        <v>1796</v>
      </c>
      <c r="G194" s="352" t="s">
        <v>1594</v>
      </c>
      <c r="H194" s="354">
        <v>4956</v>
      </c>
    </row>
    <row r="195" spans="1:8" ht="60" x14ac:dyDescent="0.25">
      <c r="A195" s="363">
        <v>44893</v>
      </c>
      <c r="B195" s="336" t="s">
        <v>2097</v>
      </c>
      <c r="C195" s="336" t="s">
        <v>2098</v>
      </c>
      <c r="D195" s="351" t="s">
        <v>2099</v>
      </c>
      <c r="E195" s="365" t="s">
        <v>28</v>
      </c>
      <c r="F195" s="389" t="s">
        <v>4075</v>
      </c>
      <c r="G195" s="391" t="s">
        <v>1443</v>
      </c>
      <c r="H195" s="354">
        <v>13983</v>
      </c>
    </row>
    <row r="196" spans="1:8" ht="60" x14ac:dyDescent="0.25">
      <c r="A196" s="363">
        <v>44893</v>
      </c>
      <c r="B196" s="336" t="s">
        <v>2097</v>
      </c>
      <c r="C196" s="336" t="s">
        <v>2101</v>
      </c>
      <c r="D196" s="351" t="s">
        <v>2099</v>
      </c>
      <c r="E196" s="365" t="s">
        <v>28</v>
      </c>
      <c r="F196" s="389" t="s">
        <v>4075</v>
      </c>
      <c r="G196" s="391" t="s">
        <v>1443</v>
      </c>
      <c r="H196" s="354">
        <v>13983</v>
      </c>
    </row>
    <row r="197" spans="1:8" ht="60" x14ac:dyDescent="0.25">
      <c r="A197" s="363">
        <v>44893</v>
      </c>
      <c r="B197" s="336" t="s">
        <v>2097</v>
      </c>
      <c r="C197" s="336" t="s">
        <v>2102</v>
      </c>
      <c r="D197" s="351" t="s">
        <v>2099</v>
      </c>
      <c r="E197" s="365" t="s">
        <v>28</v>
      </c>
      <c r="F197" s="389" t="s">
        <v>4075</v>
      </c>
      <c r="G197" s="391" t="s">
        <v>1443</v>
      </c>
      <c r="H197" s="354">
        <v>13983</v>
      </c>
    </row>
    <row r="198" spans="1:8" ht="60" x14ac:dyDescent="0.25">
      <c r="A198" s="363">
        <v>44893</v>
      </c>
      <c r="B198" s="336" t="s">
        <v>2097</v>
      </c>
      <c r="C198" s="336" t="s">
        <v>2103</v>
      </c>
      <c r="D198" s="351" t="s">
        <v>2099</v>
      </c>
      <c r="E198" s="365" t="s">
        <v>28</v>
      </c>
      <c r="F198" s="389" t="s">
        <v>4075</v>
      </c>
      <c r="G198" s="391" t="s">
        <v>1443</v>
      </c>
      <c r="H198" s="354">
        <v>13983</v>
      </c>
    </row>
    <row r="199" spans="1:8" ht="60" x14ac:dyDescent="0.25">
      <c r="A199" s="363">
        <v>44893</v>
      </c>
      <c r="B199" s="336" t="s">
        <v>2097</v>
      </c>
      <c r="C199" s="336" t="s">
        <v>2104</v>
      </c>
      <c r="D199" s="351" t="s">
        <v>2099</v>
      </c>
      <c r="E199" s="365" t="s">
        <v>28</v>
      </c>
      <c r="F199" s="389" t="s">
        <v>4075</v>
      </c>
      <c r="G199" s="391" t="s">
        <v>1443</v>
      </c>
      <c r="H199" s="354">
        <v>13983</v>
      </c>
    </row>
    <row r="200" spans="1:8" ht="60" x14ac:dyDescent="0.25">
      <c r="A200" s="363">
        <v>44893</v>
      </c>
      <c r="B200" s="336" t="s">
        <v>2097</v>
      </c>
      <c r="C200" s="336" t="s">
        <v>2105</v>
      </c>
      <c r="D200" s="351" t="s">
        <v>2099</v>
      </c>
      <c r="E200" s="365" t="s">
        <v>28</v>
      </c>
      <c r="F200" s="389" t="s">
        <v>4075</v>
      </c>
      <c r="G200" s="391" t="s">
        <v>1443</v>
      </c>
      <c r="H200" s="354">
        <v>13983</v>
      </c>
    </row>
    <row r="201" spans="1:8" ht="60" x14ac:dyDescent="0.25">
      <c r="A201" s="363">
        <v>44893</v>
      </c>
      <c r="B201" s="336" t="s">
        <v>2097</v>
      </c>
      <c r="C201" s="336" t="s">
        <v>2106</v>
      </c>
      <c r="D201" s="351" t="s">
        <v>2099</v>
      </c>
      <c r="E201" s="365" t="s">
        <v>28</v>
      </c>
      <c r="F201" s="389" t="s">
        <v>4081</v>
      </c>
      <c r="G201" s="391" t="s">
        <v>1443</v>
      </c>
      <c r="H201" s="354">
        <v>13983</v>
      </c>
    </row>
    <row r="202" spans="1:8" ht="60" x14ac:dyDescent="0.25">
      <c r="A202" s="363">
        <v>44893</v>
      </c>
      <c r="B202" s="336" t="s">
        <v>2097</v>
      </c>
      <c r="C202" s="336" t="s">
        <v>2107</v>
      </c>
      <c r="D202" s="351" t="s">
        <v>2099</v>
      </c>
      <c r="E202" s="365" t="s">
        <v>28</v>
      </c>
      <c r="F202" s="389" t="s">
        <v>4081</v>
      </c>
      <c r="G202" s="391" t="s">
        <v>1443</v>
      </c>
      <c r="H202" s="354">
        <v>13983</v>
      </c>
    </row>
    <row r="203" spans="1:8" ht="60" x14ac:dyDescent="0.25">
      <c r="A203" s="363">
        <v>44893</v>
      </c>
      <c r="B203" s="336" t="s">
        <v>2097</v>
      </c>
      <c r="C203" s="336" t="s">
        <v>2108</v>
      </c>
      <c r="D203" s="351" t="s">
        <v>2099</v>
      </c>
      <c r="E203" s="365" t="s">
        <v>28</v>
      </c>
      <c r="F203" s="389" t="s">
        <v>4081</v>
      </c>
      <c r="G203" s="391" t="s">
        <v>1443</v>
      </c>
      <c r="H203" s="354">
        <v>13983</v>
      </c>
    </row>
    <row r="204" spans="1:8" ht="45" x14ac:dyDescent="0.25">
      <c r="A204" s="363">
        <v>44893</v>
      </c>
      <c r="B204" s="336" t="s">
        <v>2097</v>
      </c>
      <c r="C204" s="336" t="s">
        <v>2109</v>
      </c>
      <c r="D204" s="351" t="s">
        <v>2099</v>
      </c>
      <c r="E204" s="365" t="s">
        <v>28</v>
      </c>
      <c r="F204" s="389" t="s">
        <v>4076</v>
      </c>
      <c r="G204" s="391" t="s">
        <v>4079</v>
      </c>
      <c r="H204" s="354">
        <v>13983</v>
      </c>
    </row>
    <row r="205" spans="1:8" ht="45" x14ac:dyDescent="0.25">
      <c r="A205" s="363">
        <v>44893</v>
      </c>
      <c r="B205" s="336" t="s">
        <v>2097</v>
      </c>
      <c r="C205" s="336" t="s">
        <v>2110</v>
      </c>
      <c r="D205" s="351" t="s">
        <v>2099</v>
      </c>
      <c r="E205" s="365" t="s">
        <v>28</v>
      </c>
      <c r="F205" s="389" t="s">
        <v>4076</v>
      </c>
      <c r="G205" s="391" t="s">
        <v>4079</v>
      </c>
      <c r="H205" s="354">
        <v>13983</v>
      </c>
    </row>
    <row r="206" spans="1:8" ht="45" x14ac:dyDescent="0.25">
      <c r="A206" s="363">
        <v>44893</v>
      </c>
      <c r="B206" s="336" t="s">
        <v>2097</v>
      </c>
      <c r="C206" s="336" t="s">
        <v>2111</v>
      </c>
      <c r="D206" s="351" t="s">
        <v>2099</v>
      </c>
      <c r="E206" s="365" t="s">
        <v>28</v>
      </c>
      <c r="F206" s="389" t="s">
        <v>4076</v>
      </c>
      <c r="G206" s="391" t="s">
        <v>4079</v>
      </c>
      <c r="H206" s="354">
        <v>13983</v>
      </c>
    </row>
    <row r="207" spans="1:8" ht="75" x14ac:dyDescent="0.25">
      <c r="A207" s="363">
        <v>44893</v>
      </c>
      <c r="B207" s="336" t="s">
        <v>2097</v>
      </c>
      <c r="C207" s="336" t="s">
        <v>2112</v>
      </c>
      <c r="D207" s="351" t="s">
        <v>2099</v>
      </c>
      <c r="E207" s="365" t="s">
        <v>28</v>
      </c>
      <c r="F207" s="389" t="s">
        <v>4077</v>
      </c>
      <c r="G207" s="391" t="s">
        <v>4079</v>
      </c>
      <c r="H207" s="354">
        <v>13983</v>
      </c>
    </row>
    <row r="208" spans="1:8" ht="75" x14ac:dyDescent="0.25">
      <c r="A208" s="363">
        <v>44893</v>
      </c>
      <c r="B208" s="336" t="s">
        <v>2097</v>
      </c>
      <c r="C208" s="336" t="s">
        <v>2113</v>
      </c>
      <c r="D208" s="351" t="s">
        <v>2099</v>
      </c>
      <c r="E208" s="365" t="s">
        <v>28</v>
      </c>
      <c r="F208" s="389" t="s">
        <v>4077</v>
      </c>
      <c r="G208" s="391" t="s">
        <v>4079</v>
      </c>
      <c r="H208" s="354">
        <v>13983</v>
      </c>
    </row>
    <row r="209" spans="1:8" ht="60" x14ac:dyDescent="0.25">
      <c r="A209" s="363">
        <v>44893</v>
      </c>
      <c r="B209" s="336" t="s">
        <v>2097</v>
      </c>
      <c r="C209" s="336" t="s">
        <v>2114</v>
      </c>
      <c r="D209" s="351" t="s">
        <v>2099</v>
      </c>
      <c r="E209" s="365" t="s">
        <v>28</v>
      </c>
      <c r="F209" s="389" t="s">
        <v>4078</v>
      </c>
      <c r="G209" s="391" t="s">
        <v>4079</v>
      </c>
      <c r="H209" s="354">
        <v>13983</v>
      </c>
    </row>
    <row r="210" spans="1:8" ht="60" x14ac:dyDescent="0.25">
      <c r="A210" s="363">
        <v>44893</v>
      </c>
      <c r="B210" s="336" t="s">
        <v>2097</v>
      </c>
      <c r="C210" s="336" t="s">
        <v>2115</v>
      </c>
      <c r="D210" s="351" t="s">
        <v>2099</v>
      </c>
      <c r="E210" s="365" t="s">
        <v>28</v>
      </c>
      <c r="F210" s="389" t="s">
        <v>4078</v>
      </c>
      <c r="G210" s="391" t="s">
        <v>4079</v>
      </c>
      <c r="H210" s="354">
        <v>13983</v>
      </c>
    </row>
    <row r="211" spans="1:8" ht="60" x14ac:dyDescent="0.25">
      <c r="A211" s="363">
        <v>44893</v>
      </c>
      <c r="B211" s="336" t="s">
        <v>2097</v>
      </c>
      <c r="C211" s="336" t="s">
        <v>2116</v>
      </c>
      <c r="D211" s="351" t="s">
        <v>2099</v>
      </c>
      <c r="E211" s="365" t="s">
        <v>28</v>
      </c>
      <c r="F211" s="389" t="s">
        <v>4078</v>
      </c>
      <c r="G211" s="391" t="s">
        <v>4079</v>
      </c>
      <c r="H211" s="354">
        <v>13983</v>
      </c>
    </row>
    <row r="212" spans="1:8" ht="75" x14ac:dyDescent="0.25">
      <c r="A212" s="363">
        <v>44893</v>
      </c>
      <c r="B212" s="336" t="s">
        <v>2097</v>
      </c>
      <c r="C212" s="336" t="s">
        <v>2117</v>
      </c>
      <c r="D212" s="351" t="s">
        <v>2118</v>
      </c>
      <c r="E212" s="365" t="s">
        <v>28</v>
      </c>
      <c r="F212" s="392" t="s">
        <v>4080</v>
      </c>
      <c r="G212" s="391" t="s">
        <v>1443</v>
      </c>
      <c r="H212" s="354">
        <v>11463.7</v>
      </c>
    </row>
    <row r="213" spans="1:8" ht="60" x14ac:dyDescent="0.25">
      <c r="A213" s="363">
        <v>44893</v>
      </c>
      <c r="B213" s="336" t="s">
        <v>2097</v>
      </c>
      <c r="C213" s="336" t="s">
        <v>2119</v>
      </c>
      <c r="D213" s="351" t="s">
        <v>2118</v>
      </c>
      <c r="E213" s="365" t="s">
        <v>28</v>
      </c>
      <c r="F213" s="389" t="s">
        <v>4081</v>
      </c>
      <c r="G213" s="391" t="s">
        <v>1443</v>
      </c>
      <c r="H213" s="354">
        <v>11463.7</v>
      </c>
    </row>
    <row r="214" spans="1:8" ht="60" x14ac:dyDescent="0.25">
      <c r="A214" s="363">
        <v>44893</v>
      </c>
      <c r="B214" s="336" t="s">
        <v>2097</v>
      </c>
      <c r="C214" s="336" t="s">
        <v>2120</v>
      </c>
      <c r="D214" s="351" t="s">
        <v>2118</v>
      </c>
      <c r="E214" s="365" t="s">
        <v>28</v>
      </c>
      <c r="F214" s="389" t="s">
        <v>4081</v>
      </c>
      <c r="G214" s="391" t="s">
        <v>1443</v>
      </c>
      <c r="H214" s="354">
        <v>11463.7</v>
      </c>
    </row>
    <row r="215" spans="1:8" ht="75" x14ac:dyDescent="0.25">
      <c r="A215" s="363">
        <v>44893</v>
      </c>
      <c r="B215" s="336" t="s">
        <v>2097</v>
      </c>
      <c r="C215" s="336" t="s">
        <v>2121</v>
      </c>
      <c r="D215" s="351" t="s">
        <v>2118</v>
      </c>
      <c r="E215" s="365" t="s">
        <v>28</v>
      </c>
      <c r="F215" s="389" t="s">
        <v>4077</v>
      </c>
      <c r="G215" s="391" t="s">
        <v>4079</v>
      </c>
      <c r="H215" s="354">
        <v>11463.7</v>
      </c>
    </row>
    <row r="216" spans="1:8" ht="25.5" x14ac:dyDescent="0.25">
      <c r="A216" s="363">
        <v>44921</v>
      </c>
      <c r="B216" s="336" t="s">
        <v>2122</v>
      </c>
      <c r="C216" s="336" t="s">
        <v>2123</v>
      </c>
      <c r="D216" s="351" t="s">
        <v>2124</v>
      </c>
      <c r="E216" s="365" t="s">
        <v>2125</v>
      </c>
      <c r="F216" s="336" t="s">
        <v>2126</v>
      </c>
      <c r="G216" s="352" t="s">
        <v>19</v>
      </c>
      <c r="H216" s="354">
        <v>51330.98</v>
      </c>
    </row>
    <row r="217" spans="1:8" ht="25.5" x14ac:dyDescent="0.25">
      <c r="A217" s="363">
        <v>44921</v>
      </c>
      <c r="B217" s="336" t="s">
        <v>2122</v>
      </c>
      <c r="C217" s="336" t="s">
        <v>2127</v>
      </c>
      <c r="D217" s="351" t="s">
        <v>2124</v>
      </c>
      <c r="E217" s="365" t="s">
        <v>2128</v>
      </c>
      <c r="F217" s="336" t="s">
        <v>2126</v>
      </c>
      <c r="G217" s="352" t="s">
        <v>19</v>
      </c>
      <c r="H217" s="354">
        <v>51330.97</v>
      </c>
    </row>
    <row r="218" spans="1:8" ht="63.75" x14ac:dyDescent="0.25">
      <c r="A218" s="363">
        <v>44921</v>
      </c>
      <c r="B218" s="336" t="s">
        <v>2122</v>
      </c>
      <c r="C218" s="366" t="s">
        <v>2129</v>
      </c>
      <c r="D218" s="351" t="s">
        <v>2130</v>
      </c>
      <c r="E218" s="365" t="s">
        <v>2131</v>
      </c>
      <c r="F218" s="336" t="s">
        <v>2132</v>
      </c>
      <c r="G218" s="352" t="s">
        <v>1594</v>
      </c>
      <c r="H218" s="354">
        <v>3850.96</v>
      </c>
    </row>
    <row r="219" spans="1:8" ht="63.75" x14ac:dyDescent="0.25">
      <c r="A219" s="363">
        <v>44921</v>
      </c>
      <c r="B219" s="336" t="s">
        <v>2122</v>
      </c>
      <c r="C219" s="366" t="s">
        <v>2133</v>
      </c>
      <c r="D219" s="351" t="s">
        <v>2130</v>
      </c>
      <c r="E219" s="365" t="s">
        <v>2134</v>
      </c>
      <c r="F219" s="336" t="s">
        <v>2132</v>
      </c>
      <c r="G219" s="352" t="s">
        <v>1594</v>
      </c>
      <c r="H219" s="354">
        <v>3850.96</v>
      </c>
    </row>
    <row r="220" spans="1:8" ht="63.75" x14ac:dyDescent="0.25">
      <c r="A220" s="363">
        <v>44921</v>
      </c>
      <c r="B220" s="336" t="s">
        <v>2122</v>
      </c>
      <c r="C220" s="366" t="s">
        <v>2135</v>
      </c>
      <c r="D220" s="351" t="s">
        <v>2130</v>
      </c>
      <c r="E220" s="365" t="s">
        <v>2136</v>
      </c>
      <c r="F220" s="336" t="s">
        <v>2132</v>
      </c>
      <c r="G220" s="352" t="s">
        <v>1594</v>
      </c>
      <c r="H220" s="354">
        <v>3850.96</v>
      </c>
    </row>
    <row r="221" spans="1:8" ht="63.75" x14ac:dyDescent="0.25">
      <c r="A221" s="363">
        <v>44921</v>
      </c>
      <c r="B221" s="336" t="s">
        <v>2122</v>
      </c>
      <c r="C221" s="366" t="s">
        <v>2137</v>
      </c>
      <c r="D221" s="351" t="s">
        <v>2130</v>
      </c>
      <c r="E221" s="365" t="s">
        <v>2138</v>
      </c>
      <c r="F221" s="336" t="s">
        <v>2132</v>
      </c>
      <c r="G221" s="352" t="s">
        <v>1594</v>
      </c>
      <c r="H221" s="354">
        <v>3850.96</v>
      </c>
    </row>
    <row r="222" spans="1:8" ht="63.75" x14ac:dyDescent="0.25">
      <c r="A222" s="363">
        <v>44921</v>
      </c>
      <c r="B222" s="336" t="s">
        <v>2122</v>
      </c>
      <c r="C222" s="366" t="s">
        <v>2139</v>
      </c>
      <c r="D222" s="351" t="s">
        <v>2130</v>
      </c>
      <c r="E222" s="365" t="s">
        <v>2140</v>
      </c>
      <c r="F222" s="336" t="s">
        <v>2132</v>
      </c>
      <c r="G222" s="352" t="s">
        <v>1594</v>
      </c>
      <c r="H222" s="354">
        <v>3850.96</v>
      </c>
    </row>
    <row r="223" spans="1:8" ht="63.75" x14ac:dyDescent="0.25">
      <c r="A223" s="363">
        <v>44921</v>
      </c>
      <c r="B223" s="336" t="s">
        <v>2122</v>
      </c>
      <c r="C223" s="366" t="s">
        <v>2141</v>
      </c>
      <c r="D223" s="351" t="s">
        <v>2130</v>
      </c>
      <c r="E223" s="365" t="s">
        <v>2142</v>
      </c>
      <c r="F223" s="336" t="s">
        <v>2132</v>
      </c>
      <c r="G223" s="352" t="s">
        <v>1594</v>
      </c>
      <c r="H223" s="354">
        <v>3850.96</v>
      </c>
    </row>
    <row r="224" spans="1:8" ht="63.75" x14ac:dyDescent="0.25">
      <c r="A224" s="363">
        <v>44921</v>
      </c>
      <c r="B224" s="336" t="s">
        <v>2122</v>
      </c>
      <c r="C224" s="366" t="s">
        <v>2143</v>
      </c>
      <c r="D224" s="351" t="s">
        <v>2130</v>
      </c>
      <c r="E224" s="365" t="s">
        <v>2144</v>
      </c>
      <c r="F224" s="336" t="s">
        <v>2132</v>
      </c>
      <c r="G224" s="352" t="s">
        <v>1594</v>
      </c>
      <c r="H224" s="354">
        <v>3850.96</v>
      </c>
    </row>
    <row r="225" spans="1:8" ht="63.75" x14ac:dyDescent="0.25">
      <c r="A225" s="363">
        <v>44921</v>
      </c>
      <c r="B225" s="336" t="s">
        <v>2122</v>
      </c>
      <c r="C225" s="366" t="s">
        <v>2145</v>
      </c>
      <c r="D225" s="351" t="s">
        <v>2130</v>
      </c>
      <c r="E225" s="365" t="s">
        <v>2146</v>
      </c>
      <c r="F225" s="336" t="s">
        <v>2132</v>
      </c>
      <c r="G225" s="352" t="s">
        <v>1594</v>
      </c>
      <c r="H225" s="354">
        <v>3850.96</v>
      </c>
    </row>
    <row r="226" spans="1:8" ht="63.75" x14ac:dyDescent="0.25">
      <c r="A226" s="363">
        <v>44921</v>
      </c>
      <c r="B226" s="336" t="s">
        <v>2122</v>
      </c>
      <c r="C226" s="366" t="s">
        <v>2147</v>
      </c>
      <c r="D226" s="351" t="s">
        <v>2130</v>
      </c>
      <c r="E226" s="365" t="s">
        <v>2148</v>
      </c>
      <c r="F226" s="336" t="s">
        <v>2132</v>
      </c>
      <c r="G226" s="352" t="s">
        <v>1594</v>
      </c>
      <c r="H226" s="354">
        <v>3850.96</v>
      </c>
    </row>
    <row r="227" spans="1:8" ht="63.75" x14ac:dyDescent="0.25">
      <c r="A227" s="363">
        <v>44921</v>
      </c>
      <c r="B227" s="336" t="s">
        <v>2122</v>
      </c>
      <c r="C227" s="366" t="s">
        <v>2149</v>
      </c>
      <c r="D227" s="351" t="s">
        <v>2130</v>
      </c>
      <c r="E227" s="365" t="s">
        <v>2150</v>
      </c>
      <c r="F227" s="336" t="s">
        <v>2132</v>
      </c>
      <c r="G227" s="352" t="s">
        <v>1594</v>
      </c>
      <c r="H227" s="354">
        <v>3850.96</v>
      </c>
    </row>
    <row r="228" spans="1:8" ht="63.75" x14ac:dyDescent="0.25">
      <c r="A228" s="363">
        <v>44921</v>
      </c>
      <c r="B228" s="336" t="s">
        <v>2122</v>
      </c>
      <c r="C228" s="366" t="s">
        <v>2151</v>
      </c>
      <c r="D228" s="351" t="s">
        <v>2130</v>
      </c>
      <c r="E228" s="365" t="s">
        <v>2152</v>
      </c>
      <c r="F228" s="336" t="s">
        <v>2132</v>
      </c>
      <c r="G228" s="352" t="s">
        <v>1594</v>
      </c>
      <c r="H228" s="354">
        <v>3850.96</v>
      </c>
    </row>
    <row r="229" spans="1:8" ht="63.75" x14ac:dyDescent="0.25">
      <c r="A229" s="363">
        <v>44921</v>
      </c>
      <c r="B229" s="336" t="s">
        <v>2122</v>
      </c>
      <c r="C229" s="366" t="s">
        <v>2153</v>
      </c>
      <c r="D229" s="351" t="s">
        <v>2130</v>
      </c>
      <c r="E229" s="365" t="s">
        <v>2154</v>
      </c>
      <c r="F229" s="336" t="s">
        <v>2132</v>
      </c>
      <c r="G229" s="352" t="s">
        <v>1594</v>
      </c>
      <c r="H229" s="354">
        <v>3850.96</v>
      </c>
    </row>
    <row r="230" spans="1:8" ht="63.75" x14ac:dyDescent="0.25">
      <c r="A230" s="363">
        <v>44921</v>
      </c>
      <c r="B230" s="336" t="s">
        <v>2122</v>
      </c>
      <c r="C230" s="366" t="s">
        <v>2155</v>
      </c>
      <c r="D230" s="351" t="s">
        <v>2130</v>
      </c>
      <c r="E230" s="365" t="s">
        <v>2156</v>
      </c>
      <c r="F230" s="336" t="s">
        <v>2132</v>
      </c>
      <c r="G230" s="352" t="s">
        <v>1594</v>
      </c>
      <c r="H230" s="354">
        <v>3850.96</v>
      </c>
    </row>
    <row r="231" spans="1:8" ht="63.75" x14ac:dyDescent="0.25">
      <c r="A231" s="363">
        <v>44921</v>
      </c>
      <c r="B231" s="336" t="s">
        <v>2122</v>
      </c>
      <c r="C231" s="366" t="s">
        <v>2157</v>
      </c>
      <c r="D231" s="351" t="s">
        <v>2130</v>
      </c>
      <c r="E231" s="365" t="s">
        <v>2158</v>
      </c>
      <c r="F231" s="336" t="s">
        <v>2132</v>
      </c>
      <c r="G231" s="352" t="s">
        <v>1594</v>
      </c>
      <c r="H231" s="354">
        <v>3850.96</v>
      </c>
    </row>
    <row r="232" spans="1:8" ht="63.75" x14ac:dyDescent="0.25">
      <c r="A232" s="363">
        <v>44921</v>
      </c>
      <c r="B232" s="336" t="s">
        <v>2122</v>
      </c>
      <c r="C232" s="366" t="s">
        <v>2159</v>
      </c>
      <c r="D232" s="351" t="s">
        <v>2130</v>
      </c>
      <c r="E232" s="365" t="s">
        <v>2160</v>
      </c>
      <c r="F232" s="336" t="s">
        <v>2132</v>
      </c>
      <c r="G232" s="352" t="s">
        <v>1594</v>
      </c>
      <c r="H232" s="354">
        <v>3850.96</v>
      </c>
    </row>
    <row r="233" spans="1:8" ht="63.75" x14ac:dyDescent="0.25">
      <c r="A233" s="363">
        <v>44921</v>
      </c>
      <c r="B233" s="336" t="s">
        <v>2122</v>
      </c>
      <c r="C233" s="366" t="s">
        <v>2161</v>
      </c>
      <c r="D233" s="351" t="s">
        <v>2130</v>
      </c>
      <c r="E233" s="365" t="s">
        <v>2162</v>
      </c>
      <c r="F233" s="336" t="s">
        <v>2132</v>
      </c>
      <c r="G233" s="352" t="s">
        <v>1594</v>
      </c>
      <c r="H233" s="354">
        <v>3850.96</v>
      </c>
    </row>
    <row r="234" spans="1:8" ht="63.75" x14ac:dyDescent="0.25">
      <c r="A234" s="363">
        <v>44921</v>
      </c>
      <c r="B234" s="336" t="s">
        <v>2122</v>
      </c>
      <c r="C234" s="366" t="s">
        <v>2163</v>
      </c>
      <c r="D234" s="351" t="s">
        <v>2130</v>
      </c>
      <c r="E234" s="365" t="s">
        <v>2164</v>
      </c>
      <c r="F234" s="336" t="s">
        <v>2132</v>
      </c>
      <c r="G234" s="352" t="s">
        <v>1594</v>
      </c>
      <c r="H234" s="354">
        <v>3850.96</v>
      </c>
    </row>
    <row r="235" spans="1:8" ht="63.75" x14ac:dyDescent="0.25">
      <c r="A235" s="363">
        <v>44921</v>
      </c>
      <c r="B235" s="336" t="s">
        <v>2122</v>
      </c>
      <c r="C235" s="366" t="s">
        <v>2165</v>
      </c>
      <c r="D235" s="351" t="s">
        <v>2130</v>
      </c>
      <c r="E235" s="365" t="s">
        <v>2166</v>
      </c>
      <c r="F235" s="336" t="s">
        <v>2132</v>
      </c>
      <c r="G235" s="352" t="s">
        <v>1594</v>
      </c>
      <c r="H235" s="354">
        <v>3850.96</v>
      </c>
    </row>
    <row r="236" spans="1:8" ht="63.75" x14ac:dyDescent="0.25">
      <c r="A236" s="363">
        <v>44921</v>
      </c>
      <c r="B236" s="336" t="s">
        <v>2122</v>
      </c>
      <c r="C236" s="366" t="s">
        <v>2167</v>
      </c>
      <c r="D236" s="351" t="s">
        <v>2130</v>
      </c>
      <c r="E236" s="365" t="s">
        <v>2168</v>
      </c>
      <c r="F236" s="336" t="s">
        <v>2132</v>
      </c>
      <c r="G236" s="352" t="s">
        <v>1594</v>
      </c>
      <c r="H236" s="354">
        <v>3850.96</v>
      </c>
    </row>
    <row r="237" spans="1:8" ht="63.75" x14ac:dyDescent="0.25">
      <c r="A237" s="363">
        <v>44921</v>
      </c>
      <c r="B237" s="336" t="s">
        <v>2122</v>
      </c>
      <c r="C237" s="366" t="s">
        <v>2169</v>
      </c>
      <c r="D237" s="351" t="s">
        <v>2130</v>
      </c>
      <c r="E237" s="365" t="s">
        <v>2170</v>
      </c>
      <c r="F237" s="336" t="s">
        <v>2132</v>
      </c>
      <c r="G237" s="352" t="s">
        <v>1594</v>
      </c>
      <c r="H237" s="354">
        <v>3850.96</v>
      </c>
    </row>
    <row r="238" spans="1:8" ht="63.75" x14ac:dyDescent="0.25">
      <c r="A238" s="363">
        <v>44921</v>
      </c>
      <c r="B238" s="336" t="s">
        <v>2122</v>
      </c>
      <c r="C238" s="366" t="s">
        <v>2171</v>
      </c>
      <c r="D238" s="351" t="s">
        <v>2130</v>
      </c>
      <c r="E238" s="365" t="s">
        <v>2172</v>
      </c>
      <c r="F238" s="336" t="s">
        <v>2132</v>
      </c>
      <c r="G238" s="352" t="s">
        <v>1594</v>
      </c>
      <c r="H238" s="354">
        <v>3850.96</v>
      </c>
    </row>
    <row r="239" spans="1:8" ht="63.75" x14ac:dyDescent="0.25">
      <c r="A239" s="363">
        <v>44921</v>
      </c>
      <c r="B239" s="336" t="s">
        <v>2122</v>
      </c>
      <c r="C239" s="366" t="s">
        <v>2173</v>
      </c>
      <c r="D239" s="351" t="s">
        <v>2130</v>
      </c>
      <c r="E239" s="365" t="s">
        <v>2174</v>
      </c>
      <c r="F239" s="336" t="s">
        <v>2132</v>
      </c>
      <c r="G239" s="352" t="s">
        <v>1594</v>
      </c>
      <c r="H239" s="354">
        <v>3850.96</v>
      </c>
    </row>
    <row r="240" spans="1:8" ht="63.75" x14ac:dyDescent="0.25">
      <c r="A240" s="363">
        <v>44921</v>
      </c>
      <c r="B240" s="336" t="s">
        <v>2122</v>
      </c>
      <c r="C240" s="366" t="s">
        <v>2175</v>
      </c>
      <c r="D240" s="351" t="s">
        <v>2130</v>
      </c>
      <c r="E240" s="365" t="s">
        <v>2176</v>
      </c>
      <c r="F240" s="336" t="s">
        <v>2132</v>
      </c>
      <c r="G240" s="352" t="s">
        <v>1594</v>
      </c>
      <c r="H240" s="354">
        <v>3850.96</v>
      </c>
    </row>
    <row r="241" spans="1:8" ht="63.75" x14ac:dyDescent="0.25">
      <c r="A241" s="363">
        <v>44921</v>
      </c>
      <c r="B241" s="336" t="s">
        <v>2122</v>
      </c>
      <c r="C241" s="366" t="s">
        <v>2177</v>
      </c>
      <c r="D241" s="351" t="s">
        <v>2130</v>
      </c>
      <c r="E241" s="365" t="s">
        <v>2178</v>
      </c>
      <c r="F241" s="336" t="s">
        <v>2132</v>
      </c>
      <c r="G241" s="352" t="s">
        <v>1594</v>
      </c>
      <c r="H241" s="354">
        <v>3850.96</v>
      </c>
    </row>
    <row r="242" spans="1:8" ht="63.75" x14ac:dyDescent="0.25">
      <c r="A242" s="363">
        <v>44921</v>
      </c>
      <c r="B242" s="336" t="s">
        <v>2122</v>
      </c>
      <c r="C242" s="366" t="s">
        <v>2179</v>
      </c>
      <c r="D242" s="351" t="s">
        <v>2130</v>
      </c>
      <c r="E242" s="365" t="s">
        <v>2180</v>
      </c>
      <c r="F242" s="336" t="s">
        <v>2132</v>
      </c>
      <c r="G242" s="352" t="s">
        <v>1594</v>
      </c>
      <c r="H242" s="354">
        <v>3850.96</v>
      </c>
    </row>
    <row r="243" spans="1:8" ht="63.75" x14ac:dyDescent="0.25">
      <c r="A243" s="363">
        <v>44921</v>
      </c>
      <c r="B243" s="336" t="s">
        <v>2122</v>
      </c>
      <c r="C243" s="366" t="s">
        <v>2181</v>
      </c>
      <c r="D243" s="351" t="s">
        <v>2130</v>
      </c>
      <c r="E243" s="365" t="s">
        <v>2182</v>
      </c>
      <c r="F243" s="336" t="s">
        <v>2132</v>
      </c>
      <c r="G243" s="352" t="s">
        <v>1594</v>
      </c>
      <c r="H243" s="354">
        <v>3850.96</v>
      </c>
    </row>
    <row r="244" spans="1:8" ht="63.75" x14ac:dyDescent="0.25">
      <c r="A244" s="363">
        <v>44921</v>
      </c>
      <c r="B244" s="336" t="s">
        <v>2122</v>
      </c>
      <c r="C244" s="366" t="s">
        <v>2183</v>
      </c>
      <c r="D244" s="351" t="s">
        <v>2130</v>
      </c>
      <c r="E244" s="365" t="s">
        <v>2184</v>
      </c>
      <c r="F244" s="336" t="s">
        <v>2132</v>
      </c>
      <c r="G244" s="352" t="s">
        <v>1594</v>
      </c>
      <c r="H244" s="354">
        <v>3850.96</v>
      </c>
    </row>
    <row r="245" spans="1:8" ht="63.75" x14ac:dyDescent="0.25">
      <c r="A245" s="363">
        <v>44921</v>
      </c>
      <c r="B245" s="336" t="s">
        <v>2122</v>
      </c>
      <c r="C245" s="366" t="s">
        <v>2185</v>
      </c>
      <c r="D245" s="351" t="s">
        <v>2130</v>
      </c>
      <c r="E245" s="365" t="s">
        <v>2186</v>
      </c>
      <c r="F245" s="336" t="s">
        <v>2132</v>
      </c>
      <c r="G245" s="352" t="s">
        <v>1594</v>
      </c>
      <c r="H245" s="354">
        <v>3850.96</v>
      </c>
    </row>
    <row r="246" spans="1:8" ht="63.75" x14ac:dyDescent="0.25">
      <c r="A246" s="363">
        <v>44921</v>
      </c>
      <c r="B246" s="336" t="s">
        <v>2122</v>
      </c>
      <c r="C246" s="366" t="s">
        <v>2187</v>
      </c>
      <c r="D246" s="351" t="s">
        <v>2130</v>
      </c>
      <c r="E246" s="365" t="s">
        <v>2188</v>
      </c>
      <c r="F246" s="336" t="s">
        <v>2132</v>
      </c>
      <c r="G246" s="352" t="s">
        <v>1594</v>
      </c>
      <c r="H246" s="354">
        <v>3850.96</v>
      </c>
    </row>
    <row r="247" spans="1:8" ht="63.75" x14ac:dyDescent="0.25">
      <c r="A247" s="363">
        <v>44921</v>
      </c>
      <c r="B247" s="336" t="s">
        <v>2122</v>
      </c>
      <c r="C247" s="366" t="s">
        <v>2189</v>
      </c>
      <c r="D247" s="351" t="s">
        <v>2130</v>
      </c>
      <c r="E247" s="365" t="s">
        <v>2190</v>
      </c>
      <c r="F247" s="336" t="s">
        <v>2132</v>
      </c>
      <c r="G247" s="352" t="s">
        <v>1594</v>
      </c>
      <c r="H247" s="354">
        <v>3850.96</v>
      </c>
    </row>
    <row r="248" spans="1:8" ht="63.75" x14ac:dyDescent="0.25">
      <c r="A248" s="363">
        <v>44921</v>
      </c>
      <c r="B248" s="336" t="s">
        <v>2122</v>
      </c>
      <c r="C248" s="366" t="s">
        <v>2191</v>
      </c>
      <c r="D248" s="351" t="s">
        <v>1875</v>
      </c>
      <c r="E248" s="365" t="s">
        <v>2192</v>
      </c>
      <c r="F248" s="336" t="s">
        <v>2132</v>
      </c>
      <c r="G248" s="352" t="s">
        <v>1594</v>
      </c>
      <c r="H248" s="354">
        <v>11379.25</v>
      </c>
    </row>
    <row r="249" spans="1:8" ht="63.75" x14ac:dyDescent="0.25">
      <c r="A249" s="363">
        <v>44921</v>
      </c>
      <c r="B249" s="336" t="s">
        <v>2122</v>
      </c>
      <c r="C249" s="366" t="s">
        <v>2193</v>
      </c>
      <c r="D249" s="351" t="s">
        <v>1875</v>
      </c>
      <c r="E249" s="365" t="s">
        <v>2194</v>
      </c>
      <c r="F249" s="336" t="s">
        <v>2132</v>
      </c>
      <c r="G249" s="352" t="s">
        <v>1594</v>
      </c>
      <c r="H249" s="354">
        <v>11379.25</v>
      </c>
    </row>
    <row r="250" spans="1:8" ht="63.75" x14ac:dyDescent="0.25">
      <c r="A250" s="363">
        <v>44921</v>
      </c>
      <c r="B250" s="336" t="s">
        <v>2122</v>
      </c>
      <c r="C250" s="366" t="s">
        <v>2195</v>
      </c>
      <c r="D250" s="351" t="s">
        <v>1875</v>
      </c>
      <c r="E250" s="365" t="s">
        <v>2196</v>
      </c>
      <c r="F250" s="336" t="s">
        <v>2132</v>
      </c>
      <c r="G250" s="352" t="s">
        <v>1594</v>
      </c>
      <c r="H250" s="354">
        <v>11379.25</v>
      </c>
    </row>
    <row r="251" spans="1:8" ht="63.75" x14ac:dyDescent="0.25">
      <c r="A251" s="363">
        <v>44921</v>
      </c>
      <c r="B251" s="336" t="s">
        <v>2122</v>
      </c>
      <c r="C251" s="366" t="s">
        <v>2197</v>
      </c>
      <c r="D251" s="351" t="s">
        <v>1875</v>
      </c>
      <c r="E251" s="365" t="s">
        <v>2198</v>
      </c>
      <c r="F251" s="336" t="s">
        <v>2132</v>
      </c>
      <c r="G251" s="352" t="s">
        <v>1594</v>
      </c>
      <c r="H251" s="354">
        <v>11379.25</v>
      </c>
    </row>
    <row r="252" spans="1:8" ht="63.75" x14ac:dyDescent="0.25">
      <c r="A252" s="363">
        <v>44921</v>
      </c>
      <c r="B252" s="336" t="s">
        <v>2122</v>
      </c>
      <c r="C252" s="366" t="s">
        <v>2199</v>
      </c>
      <c r="D252" s="351" t="s">
        <v>1875</v>
      </c>
      <c r="E252" s="365" t="s">
        <v>2200</v>
      </c>
      <c r="F252" s="336" t="s">
        <v>2132</v>
      </c>
      <c r="G252" s="352" t="s">
        <v>1594</v>
      </c>
      <c r="H252" s="354">
        <v>11379.25</v>
      </c>
    </row>
    <row r="253" spans="1:8" ht="63.75" x14ac:dyDescent="0.25">
      <c r="A253" s="363">
        <v>44921</v>
      </c>
      <c r="B253" s="336" t="s">
        <v>2122</v>
      </c>
      <c r="C253" s="366" t="s">
        <v>2201</v>
      </c>
      <c r="D253" s="351" t="s">
        <v>1875</v>
      </c>
      <c r="E253" s="365" t="s">
        <v>2202</v>
      </c>
      <c r="F253" s="336" t="s">
        <v>2132</v>
      </c>
      <c r="G253" s="352" t="s">
        <v>1594</v>
      </c>
      <c r="H253" s="354">
        <v>11379.25</v>
      </c>
    </row>
    <row r="254" spans="1:8" ht="63.75" x14ac:dyDescent="0.25">
      <c r="A254" s="363">
        <v>44921</v>
      </c>
      <c r="B254" s="336" t="s">
        <v>2122</v>
      </c>
      <c r="C254" s="366" t="s">
        <v>2203</v>
      </c>
      <c r="D254" s="351" t="s">
        <v>1875</v>
      </c>
      <c r="E254" s="365" t="s">
        <v>2204</v>
      </c>
      <c r="F254" s="336" t="s">
        <v>2132</v>
      </c>
      <c r="G254" s="352" t="s">
        <v>1594</v>
      </c>
      <c r="H254" s="354">
        <v>11379.25</v>
      </c>
    </row>
    <row r="255" spans="1:8" ht="63.75" x14ac:dyDescent="0.25">
      <c r="A255" s="363">
        <v>44921</v>
      </c>
      <c r="B255" s="336" t="s">
        <v>2122</v>
      </c>
      <c r="C255" s="366" t="s">
        <v>2205</v>
      </c>
      <c r="D255" s="351" t="s">
        <v>1875</v>
      </c>
      <c r="E255" s="365" t="s">
        <v>2206</v>
      </c>
      <c r="F255" s="336" t="s">
        <v>2132</v>
      </c>
      <c r="G255" s="352" t="s">
        <v>1594</v>
      </c>
      <c r="H255" s="354">
        <v>11379.25</v>
      </c>
    </row>
    <row r="256" spans="1:8" ht="63.75" x14ac:dyDescent="0.25">
      <c r="A256" s="363">
        <v>44921</v>
      </c>
      <c r="B256" s="336" t="s">
        <v>2122</v>
      </c>
      <c r="C256" s="366" t="s">
        <v>2207</v>
      </c>
      <c r="D256" s="351" t="s">
        <v>1875</v>
      </c>
      <c r="E256" s="365" t="s">
        <v>2208</v>
      </c>
      <c r="F256" s="336" t="s">
        <v>2132</v>
      </c>
      <c r="G256" s="352" t="s">
        <v>1594</v>
      </c>
      <c r="H256" s="354">
        <v>11379.25</v>
      </c>
    </row>
    <row r="257" spans="1:8" ht="63.75" x14ac:dyDescent="0.25">
      <c r="A257" s="363">
        <v>44921</v>
      </c>
      <c r="B257" s="336" t="s">
        <v>2122</v>
      </c>
      <c r="C257" s="366" t="s">
        <v>2209</v>
      </c>
      <c r="D257" s="351" t="s">
        <v>1875</v>
      </c>
      <c r="E257" s="365" t="s">
        <v>2210</v>
      </c>
      <c r="F257" s="336" t="s">
        <v>2132</v>
      </c>
      <c r="G257" s="352" t="s">
        <v>1594</v>
      </c>
      <c r="H257" s="354">
        <v>11379.25</v>
      </c>
    </row>
    <row r="258" spans="1:8" ht="63.75" x14ac:dyDescent="0.25">
      <c r="A258" s="363">
        <v>44921</v>
      </c>
      <c r="B258" s="336" t="s">
        <v>2122</v>
      </c>
      <c r="C258" s="366" t="s">
        <v>2211</v>
      </c>
      <c r="D258" s="351" t="s">
        <v>1875</v>
      </c>
      <c r="E258" s="365" t="s">
        <v>2212</v>
      </c>
      <c r="F258" s="336" t="s">
        <v>2132</v>
      </c>
      <c r="G258" s="352" t="s">
        <v>1594</v>
      </c>
      <c r="H258" s="354">
        <v>11379.25</v>
      </c>
    </row>
    <row r="259" spans="1:8" ht="63.75" x14ac:dyDescent="0.25">
      <c r="A259" s="363">
        <v>44921</v>
      </c>
      <c r="B259" s="336" t="s">
        <v>2122</v>
      </c>
      <c r="C259" s="366" t="s">
        <v>2213</v>
      </c>
      <c r="D259" s="351" t="s">
        <v>1875</v>
      </c>
      <c r="E259" s="365" t="s">
        <v>2214</v>
      </c>
      <c r="F259" s="336" t="s">
        <v>2132</v>
      </c>
      <c r="G259" s="352" t="s">
        <v>1594</v>
      </c>
      <c r="H259" s="354">
        <v>11379.25</v>
      </c>
    </row>
    <row r="260" spans="1:8" ht="63.75" x14ac:dyDescent="0.25">
      <c r="A260" s="363">
        <v>44921</v>
      </c>
      <c r="B260" s="336" t="s">
        <v>2122</v>
      </c>
      <c r="C260" s="366" t="s">
        <v>2215</v>
      </c>
      <c r="D260" s="351" t="s">
        <v>1875</v>
      </c>
      <c r="E260" s="365" t="s">
        <v>2216</v>
      </c>
      <c r="F260" s="336" t="s">
        <v>2132</v>
      </c>
      <c r="G260" s="352" t="s">
        <v>1594</v>
      </c>
      <c r="H260" s="354">
        <v>11379.25</v>
      </c>
    </row>
    <row r="261" spans="1:8" ht="63.75" x14ac:dyDescent="0.25">
      <c r="A261" s="363">
        <v>44921</v>
      </c>
      <c r="B261" s="336" t="s">
        <v>2122</v>
      </c>
      <c r="C261" s="366" t="s">
        <v>2217</v>
      </c>
      <c r="D261" s="351" t="s">
        <v>1875</v>
      </c>
      <c r="E261" s="365" t="s">
        <v>2218</v>
      </c>
      <c r="F261" s="336" t="s">
        <v>2132</v>
      </c>
      <c r="G261" s="352" t="s">
        <v>1594</v>
      </c>
      <c r="H261" s="354">
        <v>11379.25</v>
      </c>
    </row>
    <row r="262" spans="1:8" ht="63.75" x14ac:dyDescent="0.25">
      <c r="A262" s="363">
        <v>44921</v>
      </c>
      <c r="B262" s="336" t="s">
        <v>2122</v>
      </c>
      <c r="C262" s="366" t="s">
        <v>2219</v>
      </c>
      <c r="D262" s="351" t="s">
        <v>1875</v>
      </c>
      <c r="E262" s="365" t="s">
        <v>2220</v>
      </c>
      <c r="F262" s="336" t="s">
        <v>2132</v>
      </c>
      <c r="G262" s="352" t="s">
        <v>1594</v>
      </c>
      <c r="H262" s="354">
        <v>11379.25</v>
      </c>
    </row>
    <row r="263" spans="1:8" ht="63.75" x14ac:dyDescent="0.25">
      <c r="A263" s="363">
        <v>44921</v>
      </c>
      <c r="B263" s="336" t="s">
        <v>2122</v>
      </c>
      <c r="C263" s="366" t="s">
        <v>2221</v>
      </c>
      <c r="D263" s="351" t="s">
        <v>1875</v>
      </c>
      <c r="E263" s="365" t="s">
        <v>2222</v>
      </c>
      <c r="F263" s="336" t="s">
        <v>2132</v>
      </c>
      <c r="G263" s="352" t="s">
        <v>1594</v>
      </c>
      <c r="H263" s="354">
        <v>11379.25</v>
      </c>
    </row>
    <row r="264" spans="1:8" ht="63.75" x14ac:dyDescent="0.25">
      <c r="A264" s="363">
        <v>44921</v>
      </c>
      <c r="B264" s="336" t="s">
        <v>2122</v>
      </c>
      <c r="C264" s="366" t="s">
        <v>2223</v>
      </c>
      <c r="D264" s="351" t="s">
        <v>1875</v>
      </c>
      <c r="E264" s="365" t="s">
        <v>2224</v>
      </c>
      <c r="F264" s="336" t="s">
        <v>2132</v>
      </c>
      <c r="G264" s="352" t="s">
        <v>1594</v>
      </c>
      <c r="H264" s="354">
        <v>11379.25</v>
      </c>
    </row>
    <row r="265" spans="1:8" ht="63.75" x14ac:dyDescent="0.25">
      <c r="A265" s="363">
        <v>44921</v>
      </c>
      <c r="B265" s="336" t="s">
        <v>2122</v>
      </c>
      <c r="C265" s="366" t="s">
        <v>2225</v>
      </c>
      <c r="D265" s="351" t="s">
        <v>1875</v>
      </c>
      <c r="E265" s="365" t="s">
        <v>2226</v>
      </c>
      <c r="F265" s="336" t="s">
        <v>2132</v>
      </c>
      <c r="G265" s="352" t="s">
        <v>1594</v>
      </c>
      <c r="H265" s="354">
        <v>11379.25</v>
      </c>
    </row>
    <row r="266" spans="1:8" ht="63.75" x14ac:dyDescent="0.25">
      <c r="A266" s="363">
        <v>44921</v>
      </c>
      <c r="B266" s="336" t="s">
        <v>2122</v>
      </c>
      <c r="C266" s="366" t="s">
        <v>2227</v>
      </c>
      <c r="D266" s="351" t="s">
        <v>1875</v>
      </c>
      <c r="E266" s="365" t="s">
        <v>2228</v>
      </c>
      <c r="F266" s="336" t="s">
        <v>2132</v>
      </c>
      <c r="G266" s="352" t="s">
        <v>1594</v>
      </c>
      <c r="H266" s="354">
        <v>11379.25</v>
      </c>
    </row>
    <row r="267" spans="1:8" ht="63.75" x14ac:dyDescent="0.25">
      <c r="A267" s="363">
        <v>44921</v>
      </c>
      <c r="B267" s="336" t="s">
        <v>2122</v>
      </c>
      <c r="C267" s="366" t="s">
        <v>2229</v>
      </c>
      <c r="D267" s="351" t="s">
        <v>1875</v>
      </c>
      <c r="E267" s="365" t="s">
        <v>2230</v>
      </c>
      <c r="F267" s="336" t="s">
        <v>2132</v>
      </c>
      <c r="G267" s="352" t="s">
        <v>1594</v>
      </c>
      <c r="H267" s="354">
        <v>11379.25</v>
      </c>
    </row>
    <row r="268" spans="1:8" ht="63.75" x14ac:dyDescent="0.25">
      <c r="A268" s="363">
        <v>44921</v>
      </c>
      <c r="B268" s="336" t="s">
        <v>2122</v>
      </c>
      <c r="C268" s="366" t="s">
        <v>2231</v>
      </c>
      <c r="D268" s="351" t="s">
        <v>1875</v>
      </c>
      <c r="E268" s="365" t="s">
        <v>2232</v>
      </c>
      <c r="F268" s="336" t="s">
        <v>2132</v>
      </c>
      <c r="G268" s="352" t="s">
        <v>1594</v>
      </c>
      <c r="H268" s="354">
        <v>11379.25</v>
      </c>
    </row>
    <row r="269" spans="1:8" ht="63.75" x14ac:dyDescent="0.25">
      <c r="A269" s="363">
        <v>44921</v>
      </c>
      <c r="B269" s="336" t="s">
        <v>2122</v>
      </c>
      <c r="C269" s="366" t="s">
        <v>2233</v>
      </c>
      <c r="D269" s="351" t="s">
        <v>1875</v>
      </c>
      <c r="E269" s="365" t="s">
        <v>2234</v>
      </c>
      <c r="F269" s="336" t="s">
        <v>2132</v>
      </c>
      <c r="G269" s="352" t="s">
        <v>1594</v>
      </c>
      <c r="H269" s="354">
        <v>11379.25</v>
      </c>
    </row>
    <row r="270" spans="1:8" ht="63.75" x14ac:dyDescent="0.25">
      <c r="A270" s="363">
        <v>44921</v>
      </c>
      <c r="B270" s="336" t="s">
        <v>2122</v>
      </c>
      <c r="C270" s="366" t="s">
        <v>2235</v>
      </c>
      <c r="D270" s="351" t="s">
        <v>1875</v>
      </c>
      <c r="E270" s="365" t="s">
        <v>2236</v>
      </c>
      <c r="F270" s="336" t="s">
        <v>2132</v>
      </c>
      <c r="G270" s="352" t="s">
        <v>1594</v>
      </c>
      <c r="H270" s="354">
        <v>11379.25</v>
      </c>
    </row>
    <row r="271" spans="1:8" ht="63.75" x14ac:dyDescent="0.25">
      <c r="A271" s="363">
        <v>44921</v>
      </c>
      <c r="B271" s="336" t="s">
        <v>2122</v>
      </c>
      <c r="C271" s="366" t="s">
        <v>2237</v>
      </c>
      <c r="D271" s="351" t="s">
        <v>1875</v>
      </c>
      <c r="E271" s="365" t="s">
        <v>2238</v>
      </c>
      <c r="F271" s="336" t="s">
        <v>2132</v>
      </c>
      <c r="G271" s="352" t="s">
        <v>1594</v>
      </c>
      <c r="H271" s="354">
        <v>11379.25</v>
      </c>
    </row>
    <row r="272" spans="1:8" ht="63.75" x14ac:dyDescent="0.25">
      <c r="A272" s="363">
        <v>44921</v>
      </c>
      <c r="B272" s="336" t="s">
        <v>2122</v>
      </c>
      <c r="C272" s="366" t="s">
        <v>2239</v>
      </c>
      <c r="D272" s="351" t="s">
        <v>1875</v>
      </c>
      <c r="E272" s="365" t="s">
        <v>2240</v>
      </c>
      <c r="F272" s="336" t="s">
        <v>2132</v>
      </c>
      <c r="G272" s="352" t="s">
        <v>1594</v>
      </c>
      <c r="H272" s="354">
        <v>11379.25</v>
      </c>
    </row>
    <row r="273" spans="1:8" ht="63.75" x14ac:dyDescent="0.25">
      <c r="A273" s="363">
        <v>44921</v>
      </c>
      <c r="B273" s="336" t="s">
        <v>2122</v>
      </c>
      <c r="C273" s="366" t="s">
        <v>2241</v>
      </c>
      <c r="D273" s="351" t="s">
        <v>1875</v>
      </c>
      <c r="E273" s="365" t="s">
        <v>2242</v>
      </c>
      <c r="F273" s="336" t="s">
        <v>2132</v>
      </c>
      <c r="G273" s="352" t="s">
        <v>1594</v>
      </c>
      <c r="H273" s="354">
        <v>11379.25</v>
      </c>
    </row>
    <row r="274" spans="1:8" ht="63.75" x14ac:dyDescent="0.25">
      <c r="A274" s="363">
        <v>44921</v>
      </c>
      <c r="B274" s="336" t="s">
        <v>2122</v>
      </c>
      <c r="C274" s="366" t="s">
        <v>2243</v>
      </c>
      <c r="D274" s="351" t="s">
        <v>1875</v>
      </c>
      <c r="E274" s="365" t="s">
        <v>2244</v>
      </c>
      <c r="F274" s="336" t="s">
        <v>2132</v>
      </c>
      <c r="G274" s="352" t="s">
        <v>1594</v>
      </c>
      <c r="H274" s="354">
        <v>11379.25</v>
      </c>
    </row>
    <row r="275" spans="1:8" ht="63.75" x14ac:dyDescent="0.25">
      <c r="A275" s="363">
        <v>44921</v>
      </c>
      <c r="B275" s="336" t="s">
        <v>2122</v>
      </c>
      <c r="C275" s="366" t="s">
        <v>2245</v>
      </c>
      <c r="D275" s="351" t="s">
        <v>1875</v>
      </c>
      <c r="E275" s="365" t="s">
        <v>2246</v>
      </c>
      <c r="F275" s="336" t="s">
        <v>2132</v>
      </c>
      <c r="G275" s="352" t="s">
        <v>1594</v>
      </c>
      <c r="H275" s="354">
        <v>11379.25</v>
      </c>
    </row>
    <row r="276" spans="1:8" ht="63.75" x14ac:dyDescent="0.25">
      <c r="A276" s="363">
        <v>44921</v>
      </c>
      <c r="B276" s="336" t="s">
        <v>2122</v>
      </c>
      <c r="C276" s="366" t="s">
        <v>2247</v>
      </c>
      <c r="D276" s="351" t="s">
        <v>1875</v>
      </c>
      <c r="E276" s="365" t="s">
        <v>2248</v>
      </c>
      <c r="F276" s="336" t="s">
        <v>2132</v>
      </c>
      <c r="G276" s="352" t="s">
        <v>1594</v>
      </c>
      <c r="H276" s="354">
        <v>11379.25</v>
      </c>
    </row>
    <row r="277" spans="1:8" ht="63.75" x14ac:dyDescent="0.25">
      <c r="A277" s="363">
        <v>44921</v>
      </c>
      <c r="B277" s="336" t="s">
        <v>2122</v>
      </c>
      <c r="C277" s="366" t="s">
        <v>2249</v>
      </c>
      <c r="D277" s="351" t="s">
        <v>1875</v>
      </c>
      <c r="E277" s="365" t="s">
        <v>2250</v>
      </c>
      <c r="F277" s="336" t="s">
        <v>2132</v>
      </c>
      <c r="G277" s="352" t="s">
        <v>1594</v>
      </c>
      <c r="H277" s="354">
        <v>11379.25</v>
      </c>
    </row>
    <row r="278" spans="1:8" ht="38.25" x14ac:dyDescent="0.25">
      <c r="A278" s="363">
        <v>44921</v>
      </c>
      <c r="B278" s="336" t="s">
        <v>2122</v>
      </c>
      <c r="C278" s="366" t="s">
        <v>2251</v>
      </c>
      <c r="D278" s="351" t="s">
        <v>2252</v>
      </c>
      <c r="E278" s="365" t="s">
        <v>2253</v>
      </c>
      <c r="F278" s="336" t="s">
        <v>2126</v>
      </c>
      <c r="G278" s="352" t="s">
        <v>1594</v>
      </c>
      <c r="H278" s="354">
        <v>17464.05</v>
      </c>
    </row>
    <row r="279" spans="1:8" ht="38.25" x14ac:dyDescent="0.25">
      <c r="A279" s="363">
        <v>44921</v>
      </c>
      <c r="B279" s="336" t="s">
        <v>2122</v>
      </c>
      <c r="C279" s="366" t="s">
        <v>2254</v>
      </c>
      <c r="D279" s="351" t="s">
        <v>2252</v>
      </c>
      <c r="E279" s="365" t="s">
        <v>2255</v>
      </c>
      <c r="F279" s="336" t="s">
        <v>2126</v>
      </c>
      <c r="G279" s="352" t="s">
        <v>1594</v>
      </c>
      <c r="H279" s="354">
        <v>17464.05</v>
      </c>
    </row>
    <row r="280" spans="1:8" ht="38.25" x14ac:dyDescent="0.25">
      <c r="A280" s="363">
        <v>44921</v>
      </c>
      <c r="B280" s="336" t="s">
        <v>2122</v>
      </c>
      <c r="C280" s="366" t="s">
        <v>2256</v>
      </c>
      <c r="D280" s="351" t="s">
        <v>2252</v>
      </c>
      <c r="E280" s="365" t="s">
        <v>2257</v>
      </c>
      <c r="F280" s="336" t="s">
        <v>2126</v>
      </c>
      <c r="G280" s="352" t="s">
        <v>1594</v>
      </c>
      <c r="H280" s="354">
        <v>17464.05</v>
      </c>
    </row>
    <row r="281" spans="1:8" ht="38.25" x14ac:dyDescent="0.25">
      <c r="A281" s="363">
        <v>44921</v>
      </c>
      <c r="B281" s="336" t="s">
        <v>2122</v>
      </c>
      <c r="C281" s="366" t="s">
        <v>2258</v>
      </c>
      <c r="D281" s="351" t="s">
        <v>2252</v>
      </c>
      <c r="E281" s="365" t="s">
        <v>2259</v>
      </c>
      <c r="F281" s="336" t="s">
        <v>2126</v>
      </c>
      <c r="G281" s="352" t="s">
        <v>1594</v>
      </c>
      <c r="H281" s="354">
        <v>17464.05</v>
      </c>
    </row>
    <row r="282" spans="1:8" ht="38.25" x14ac:dyDescent="0.25">
      <c r="A282" s="363">
        <v>44921</v>
      </c>
      <c r="B282" s="336" t="s">
        <v>2122</v>
      </c>
      <c r="C282" s="366" t="s">
        <v>2260</v>
      </c>
      <c r="D282" s="351" t="s">
        <v>2261</v>
      </c>
      <c r="E282" s="365" t="s">
        <v>2262</v>
      </c>
      <c r="F282" s="336" t="s">
        <v>2126</v>
      </c>
      <c r="G282" s="352" t="s">
        <v>1594</v>
      </c>
      <c r="H282" s="354">
        <v>34064.35</v>
      </c>
    </row>
    <row r="283" spans="1:8" ht="38.25" x14ac:dyDescent="0.25">
      <c r="A283" s="363">
        <v>44921</v>
      </c>
      <c r="B283" s="336" t="s">
        <v>2122</v>
      </c>
      <c r="C283" s="366" t="s">
        <v>2263</v>
      </c>
      <c r="D283" s="351" t="s">
        <v>2264</v>
      </c>
      <c r="E283" s="365" t="s">
        <v>2265</v>
      </c>
      <c r="F283" s="336" t="s">
        <v>2126</v>
      </c>
      <c r="G283" s="352" t="s">
        <v>1594</v>
      </c>
      <c r="H283" s="354">
        <v>34064.35</v>
      </c>
    </row>
    <row r="284" spans="1:8" ht="38.25" x14ac:dyDescent="0.25">
      <c r="A284" s="363">
        <v>44921</v>
      </c>
      <c r="B284" s="336" t="s">
        <v>2122</v>
      </c>
      <c r="C284" s="366" t="s">
        <v>2266</v>
      </c>
      <c r="D284" s="351" t="s">
        <v>2267</v>
      </c>
      <c r="E284" s="365" t="s">
        <v>2268</v>
      </c>
      <c r="F284" s="336" t="s">
        <v>2126</v>
      </c>
      <c r="G284" s="352" t="s">
        <v>1594</v>
      </c>
      <c r="H284" s="354">
        <v>34064.35</v>
      </c>
    </row>
    <row r="285" spans="1:8" ht="38.25" x14ac:dyDescent="0.25">
      <c r="A285" s="363">
        <v>44921</v>
      </c>
      <c r="B285" s="336" t="s">
        <v>2122</v>
      </c>
      <c r="C285" s="366" t="s">
        <v>2269</v>
      </c>
      <c r="D285" s="351" t="s">
        <v>2270</v>
      </c>
      <c r="E285" s="365" t="s">
        <v>2271</v>
      </c>
      <c r="F285" s="336" t="s">
        <v>2126</v>
      </c>
      <c r="G285" s="352" t="s">
        <v>1594</v>
      </c>
      <c r="H285" s="354">
        <v>34064.35</v>
      </c>
    </row>
    <row r="286" spans="1:8" ht="63.75" x14ac:dyDescent="0.25">
      <c r="A286" s="363">
        <v>44921</v>
      </c>
      <c r="B286" s="336" t="s">
        <v>2122</v>
      </c>
      <c r="C286" s="366" t="s">
        <v>2272</v>
      </c>
      <c r="D286" s="351" t="s">
        <v>2273</v>
      </c>
      <c r="E286" s="365" t="s">
        <v>2274</v>
      </c>
      <c r="F286" s="336" t="s">
        <v>2132</v>
      </c>
      <c r="G286" s="352" t="s">
        <v>1594</v>
      </c>
      <c r="H286" s="354">
        <v>51691.29</v>
      </c>
    </row>
    <row r="287" spans="1:8" ht="63.75" x14ac:dyDescent="0.25">
      <c r="A287" s="363">
        <v>44921</v>
      </c>
      <c r="B287" s="336" t="s">
        <v>2122</v>
      </c>
      <c r="C287" s="366" t="s">
        <v>2275</v>
      </c>
      <c r="D287" s="351" t="s">
        <v>2273</v>
      </c>
      <c r="E287" s="365" t="s">
        <v>2276</v>
      </c>
      <c r="F287" s="336" t="s">
        <v>2132</v>
      </c>
      <c r="G287" s="352" t="s">
        <v>1594</v>
      </c>
      <c r="H287" s="354">
        <v>51691.29</v>
      </c>
    </row>
    <row r="288" spans="1:8" ht="63.75" x14ac:dyDescent="0.25">
      <c r="A288" s="363">
        <v>44921</v>
      </c>
      <c r="B288" s="336" t="s">
        <v>2122</v>
      </c>
      <c r="C288" s="366" t="s">
        <v>2277</v>
      </c>
      <c r="D288" s="351" t="s">
        <v>2273</v>
      </c>
      <c r="E288" s="365" t="s">
        <v>2276</v>
      </c>
      <c r="F288" s="336" t="s">
        <v>2132</v>
      </c>
      <c r="G288" s="352" t="s">
        <v>1594</v>
      </c>
      <c r="H288" s="354">
        <v>51691.29</v>
      </c>
    </row>
    <row r="289" spans="1:8" ht="63.75" x14ac:dyDescent="0.25">
      <c r="A289" s="363">
        <v>44921</v>
      </c>
      <c r="B289" s="336" t="s">
        <v>2122</v>
      </c>
      <c r="C289" s="366" t="s">
        <v>2278</v>
      </c>
      <c r="D289" s="351" t="s">
        <v>2273</v>
      </c>
      <c r="E289" s="365" t="s">
        <v>2279</v>
      </c>
      <c r="F289" s="336" t="s">
        <v>2132</v>
      </c>
      <c r="G289" s="352" t="s">
        <v>1594</v>
      </c>
      <c r="H289" s="354">
        <v>51691.29</v>
      </c>
    </row>
    <row r="290" spans="1:8" ht="63.75" x14ac:dyDescent="0.25">
      <c r="A290" s="363">
        <v>44921</v>
      </c>
      <c r="B290" s="336" t="s">
        <v>2122</v>
      </c>
      <c r="C290" s="366" t="s">
        <v>2280</v>
      </c>
      <c r="D290" s="351" t="s">
        <v>2273</v>
      </c>
      <c r="E290" s="365" t="s">
        <v>2281</v>
      </c>
      <c r="F290" s="336" t="s">
        <v>2132</v>
      </c>
      <c r="G290" s="352" t="s">
        <v>1594</v>
      </c>
      <c r="H290" s="354">
        <v>51691.29</v>
      </c>
    </row>
    <row r="291" spans="1:8" ht="63.75" x14ac:dyDescent="0.25">
      <c r="A291" s="363">
        <v>44921</v>
      </c>
      <c r="B291" s="336" t="s">
        <v>2122</v>
      </c>
      <c r="C291" s="366" t="s">
        <v>2282</v>
      </c>
      <c r="D291" s="351" t="s">
        <v>2273</v>
      </c>
      <c r="E291" s="365" t="s">
        <v>2283</v>
      </c>
      <c r="F291" s="336" t="s">
        <v>2132</v>
      </c>
      <c r="G291" s="352" t="s">
        <v>1594</v>
      </c>
      <c r="H291" s="354">
        <v>51691.29</v>
      </c>
    </row>
    <row r="292" spans="1:8" ht="63.75" x14ac:dyDescent="0.25">
      <c r="A292" s="363">
        <v>44921</v>
      </c>
      <c r="B292" s="336" t="s">
        <v>2122</v>
      </c>
      <c r="C292" s="366" t="s">
        <v>2284</v>
      </c>
      <c r="D292" s="351" t="s">
        <v>2273</v>
      </c>
      <c r="E292" s="365" t="s">
        <v>2285</v>
      </c>
      <c r="F292" s="336" t="s">
        <v>2132</v>
      </c>
      <c r="G292" s="352" t="s">
        <v>1594</v>
      </c>
      <c r="H292" s="354">
        <v>51691.29</v>
      </c>
    </row>
    <row r="293" spans="1:8" ht="63.75" x14ac:dyDescent="0.25">
      <c r="A293" s="363">
        <v>44921</v>
      </c>
      <c r="B293" s="336" t="s">
        <v>2122</v>
      </c>
      <c r="C293" s="366" t="s">
        <v>2286</v>
      </c>
      <c r="D293" s="351" t="s">
        <v>2273</v>
      </c>
      <c r="E293" s="365" t="s">
        <v>2287</v>
      </c>
      <c r="F293" s="336" t="s">
        <v>2132</v>
      </c>
      <c r="G293" s="352" t="s">
        <v>1594</v>
      </c>
      <c r="H293" s="354">
        <v>51691.29</v>
      </c>
    </row>
    <row r="294" spans="1:8" ht="63.75" x14ac:dyDescent="0.25">
      <c r="A294" s="363">
        <v>44921</v>
      </c>
      <c r="B294" s="336" t="s">
        <v>2122</v>
      </c>
      <c r="C294" s="366" t="s">
        <v>2288</v>
      </c>
      <c r="D294" s="351" t="s">
        <v>2273</v>
      </c>
      <c r="E294" s="365" t="s">
        <v>2289</v>
      </c>
      <c r="F294" s="336" t="s">
        <v>2132</v>
      </c>
      <c r="G294" s="352" t="s">
        <v>1594</v>
      </c>
      <c r="H294" s="354">
        <v>51691.29</v>
      </c>
    </row>
    <row r="295" spans="1:8" ht="63.75" x14ac:dyDescent="0.25">
      <c r="A295" s="363">
        <v>44921</v>
      </c>
      <c r="B295" s="336" t="s">
        <v>2122</v>
      </c>
      <c r="C295" s="366" t="s">
        <v>2290</v>
      </c>
      <c r="D295" s="351" t="s">
        <v>2273</v>
      </c>
      <c r="E295" s="365" t="s">
        <v>2291</v>
      </c>
      <c r="F295" s="336" t="s">
        <v>2132</v>
      </c>
      <c r="G295" s="352" t="s">
        <v>1594</v>
      </c>
      <c r="H295" s="354">
        <v>51691.29</v>
      </c>
    </row>
    <row r="296" spans="1:8" ht="63.75" x14ac:dyDescent="0.25">
      <c r="A296" s="363">
        <v>44921</v>
      </c>
      <c r="B296" s="336" t="s">
        <v>2122</v>
      </c>
      <c r="C296" s="366" t="s">
        <v>2292</v>
      </c>
      <c r="D296" s="351" t="s">
        <v>2273</v>
      </c>
      <c r="E296" s="365" t="s">
        <v>2293</v>
      </c>
      <c r="F296" s="336" t="s">
        <v>2132</v>
      </c>
      <c r="G296" s="352" t="s">
        <v>1594</v>
      </c>
      <c r="H296" s="354">
        <v>51691.29</v>
      </c>
    </row>
    <row r="297" spans="1:8" ht="63.75" x14ac:dyDescent="0.25">
      <c r="A297" s="363">
        <v>44921</v>
      </c>
      <c r="B297" s="336" t="s">
        <v>2122</v>
      </c>
      <c r="C297" s="366" t="s">
        <v>2294</v>
      </c>
      <c r="D297" s="351" t="s">
        <v>2273</v>
      </c>
      <c r="E297" s="365" t="s">
        <v>2295</v>
      </c>
      <c r="F297" s="336" t="s">
        <v>2132</v>
      </c>
      <c r="G297" s="352" t="s">
        <v>1594</v>
      </c>
      <c r="H297" s="354">
        <v>51691.29</v>
      </c>
    </row>
    <row r="298" spans="1:8" ht="63.75" x14ac:dyDescent="0.25">
      <c r="A298" s="363">
        <v>44921</v>
      </c>
      <c r="B298" s="336" t="s">
        <v>2122</v>
      </c>
      <c r="C298" s="366" t="s">
        <v>2296</v>
      </c>
      <c r="D298" s="351" t="s">
        <v>2273</v>
      </c>
      <c r="E298" s="365" t="s">
        <v>2297</v>
      </c>
      <c r="F298" s="336" t="s">
        <v>2132</v>
      </c>
      <c r="G298" s="352" t="s">
        <v>1594</v>
      </c>
      <c r="H298" s="354">
        <v>51691.29</v>
      </c>
    </row>
    <row r="299" spans="1:8" ht="63.75" x14ac:dyDescent="0.25">
      <c r="A299" s="363">
        <v>44921</v>
      </c>
      <c r="B299" s="336" t="s">
        <v>2122</v>
      </c>
      <c r="C299" s="366" t="s">
        <v>2298</v>
      </c>
      <c r="D299" s="351" t="s">
        <v>2273</v>
      </c>
      <c r="E299" s="365" t="s">
        <v>2299</v>
      </c>
      <c r="F299" s="336" t="s">
        <v>2132</v>
      </c>
      <c r="G299" s="352" t="s">
        <v>1594</v>
      </c>
      <c r="H299" s="354">
        <v>51691.29</v>
      </c>
    </row>
    <row r="300" spans="1:8" ht="63.75" x14ac:dyDescent="0.25">
      <c r="A300" s="363">
        <v>44921</v>
      </c>
      <c r="B300" s="336" t="s">
        <v>2122</v>
      </c>
      <c r="C300" s="366" t="s">
        <v>2300</v>
      </c>
      <c r="D300" s="351" t="s">
        <v>2273</v>
      </c>
      <c r="E300" s="365" t="s">
        <v>2301</v>
      </c>
      <c r="F300" s="336" t="s">
        <v>2132</v>
      </c>
      <c r="G300" s="352" t="s">
        <v>1594</v>
      </c>
      <c r="H300" s="354">
        <v>51691.29</v>
      </c>
    </row>
    <row r="301" spans="1:8" ht="63.75" x14ac:dyDescent="0.25">
      <c r="A301" s="363">
        <v>44921</v>
      </c>
      <c r="B301" s="336" t="s">
        <v>2122</v>
      </c>
      <c r="C301" s="366" t="s">
        <v>2302</v>
      </c>
      <c r="D301" s="351" t="s">
        <v>2273</v>
      </c>
      <c r="E301" s="365" t="s">
        <v>2303</v>
      </c>
      <c r="F301" s="336" t="s">
        <v>2132</v>
      </c>
      <c r="G301" s="352" t="s">
        <v>1594</v>
      </c>
      <c r="H301" s="354">
        <v>51691.29</v>
      </c>
    </row>
    <row r="302" spans="1:8" ht="63.75" x14ac:dyDescent="0.25">
      <c r="A302" s="363">
        <v>44921</v>
      </c>
      <c r="B302" s="336" t="s">
        <v>2122</v>
      </c>
      <c r="C302" s="366" t="s">
        <v>2304</v>
      </c>
      <c r="D302" s="351" t="s">
        <v>2273</v>
      </c>
      <c r="E302" s="365" t="s">
        <v>2305</v>
      </c>
      <c r="F302" s="336" t="s">
        <v>2132</v>
      </c>
      <c r="G302" s="352" t="s">
        <v>1594</v>
      </c>
      <c r="H302" s="354">
        <v>51691.29</v>
      </c>
    </row>
    <row r="303" spans="1:8" ht="63.75" x14ac:dyDescent="0.25">
      <c r="A303" s="363">
        <v>44921</v>
      </c>
      <c r="B303" s="336" t="s">
        <v>2122</v>
      </c>
      <c r="C303" s="366" t="s">
        <v>2306</v>
      </c>
      <c r="D303" s="351" t="s">
        <v>2273</v>
      </c>
      <c r="E303" s="365" t="s">
        <v>2307</v>
      </c>
      <c r="F303" s="336" t="s">
        <v>2132</v>
      </c>
      <c r="G303" s="352" t="s">
        <v>1594</v>
      </c>
      <c r="H303" s="354">
        <v>51691.29</v>
      </c>
    </row>
    <row r="304" spans="1:8" ht="63.75" x14ac:dyDescent="0.25">
      <c r="A304" s="363">
        <v>44921</v>
      </c>
      <c r="B304" s="336" t="s">
        <v>2122</v>
      </c>
      <c r="C304" s="366" t="s">
        <v>2308</v>
      </c>
      <c r="D304" s="351" t="s">
        <v>2273</v>
      </c>
      <c r="E304" s="365" t="s">
        <v>2309</v>
      </c>
      <c r="F304" s="336" t="s">
        <v>2132</v>
      </c>
      <c r="G304" s="352" t="s">
        <v>1594</v>
      </c>
      <c r="H304" s="354">
        <v>51691.29</v>
      </c>
    </row>
    <row r="305" spans="1:8" ht="63.75" x14ac:dyDescent="0.25">
      <c r="A305" s="363">
        <v>44921</v>
      </c>
      <c r="B305" s="336" t="s">
        <v>2122</v>
      </c>
      <c r="C305" s="366" t="s">
        <v>2310</v>
      </c>
      <c r="D305" s="351" t="s">
        <v>2273</v>
      </c>
      <c r="E305" s="365" t="s">
        <v>2311</v>
      </c>
      <c r="F305" s="336" t="s">
        <v>2132</v>
      </c>
      <c r="G305" s="352" t="s">
        <v>1594</v>
      </c>
      <c r="H305" s="354">
        <v>51691.29</v>
      </c>
    </row>
    <row r="306" spans="1:8" ht="63.75" x14ac:dyDescent="0.25">
      <c r="A306" s="363">
        <v>44921</v>
      </c>
      <c r="B306" s="336" t="s">
        <v>2122</v>
      </c>
      <c r="C306" s="366" t="s">
        <v>2312</v>
      </c>
      <c r="D306" s="351" t="s">
        <v>2273</v>
      </c>
      <c r="E306" s="365" t="s">
        <v>2313</v>
      </c>
      <c r="F306" s="336" t="s">
        <v>2132</v>
      </c>
      <c r="G306" s="352" t="s">
        <v>1594</v>
      </c>
      <c r="H306" s="354">
        <v>51691.29</v>
      </c>
    </row>
    <row r="307" spans="1:8" ht="63.75" x14ac:dyDescent="0.25">
      <c r="A307" s="363">
        <v>44921</v>
      </c>
      <c r="B307" s="336" t="s">
        <v>2122</v>
      </c>
      <c r="C307" s="366" t="s">
        <v>2314</v>
      </c>
      <c r="D307" s="351" t="s">
        <v>2273</v>
      </c>
      <c r="E307" s="365" t="s">
        <v>2315</v>
      </c>
      <c r="F307" s="336" t="s">
        <v>2132</v>
      </c>
      <c r="G307" s="352" t="s">
        <v>1594</v>
      </c>
      <c r="H307" s="354">
        <v>51691.29</v>
      </c>
    </row>
    <row r="308" spans="1:8" ht="63.75" x14ac:dyDescent="0.25">
      <c r="A308" s="363">
        <v>44921</v>
      </c>
      <c r="B308" s="336" t="s">
        <v>2122</v>
      </c>
      <c r="C308" s="366" t="s">
        <v>2316</v>
      </c>
      <c r="D308" s="351" t="s">
        <v>2273</v>
      </c>
      <c r="E308" s="365" t="s">
        <v>2317</v>
      </c>
      <c r="F308" s="336" t="s">
        <v>2132</v>
      </c>
      <c r="G308" s="352" t="s">
        <v>1594</v>
      </c>
      <c r="H308" s="354">
        <v>51691.29</v>
      </c>
    </row>
    <row r="309" spans="1:8" ht="63.75" x14ac:dyDescent="0.25">
      <c r="A309" s="363">
        <v>44921</v>
      </c>
      <c r="B309" s="336" t="s">
        <v>2122</v>
      </c>
      <c r="C309" s="366" t="s">
        <v>2318</v>
      </c>
      <c r="D309" s="351" t="s">
        <v>2273</v>
      </c>
      <c r="E309" s="365" t="s">
        <v>2319</v>
      </c>
      <c r="F309" s="336" t="s">
        <v>2132</v>
      </c>
      <c r="G309" s="352" t="s">
        <v>1594</v>
      </c>
      <c r="H309" s="354">
        <v>51691.29</v>
      </c>
    </row>
    <row r="310" spans="1:8" ht="63.75" x14ac:dyDescent="0.25">
      <c r="A310" s="363">
        <v>44921</v>
      </c>
      <c r="B310" s="336" t="s">
        <v>2122</v>
      </c>
      <c r="C310" s="366" t="s">
        <v>2320</v>
      </c>
      <c r="D310" s="351" t="s">
        <v>2273</v>
      </c>
      <c r="E310" s="365" t="s">
        <v>2321</v>
      </c>
      <c r="F310" s="336" t="s">
        <v>2132</v>
      </c>
      <c r="G310" s="352" t="s">
        <v>1594</v>
      </c>
      <c r="H310" s="354">
        <v>51691.29</v>
      </c>
    </row>
    <row r="311" spans="1:8" ht="63.75" x14ac:dyDescent="0.25">
      <c r="A311" s="363">
        <v>44921</v>
      </c>
      <c r="B311" s="336" t="s">
        <v>2122</v>
      </c>
      <c r="C311" s="366" t="s">
        <v>2322</v>
      </c>
      <c r="D311" s="351" t="s">
        <v>2273</v>
      </c>
      <c r="E311" s="365" t="s">
        <v>2323</v>
      </c>
      <c r="F311" s="336" t="s">
        <v>2132</v>
      </c>
      <c r="G311" s="352" t="s">
        <v>1594</v>
      </c>
      <c r="H311" s="354">
        <v>51691.29</v>
      </c>
    </row>
    <row r="312" spans="1:8" ht="63.75" x14ac:dyDescent="0.25">
      <c r="A312" s="363">
        <v>44921</v>
      </c>
      <c r="B312" s="336" t="s">
        <v>2122</v>
      </c>
      <c r="C312" s="366" t="s">
        <v>2324</v>
      </c>
      <c r="D312" s="351" t="s">
        <v>2273</v>
      </c>
      <c r="E312" s="365" t="s">
        <v>2325</v>
      </c>
      <c r="F312" s="336" t="s">
        <v>2132</v>
      </c>
      <c r="G312" s="352" t="s">
        <v>1594</v>
      </c>
      <c r="H312" s="354">
        <v>51691.29</v>
      </c>
    </row>
    <row r="313" spans="1:8" ht="63.75" x14ac:dyDescent="0.25">
      <c r="A313" s="363">
        <v>44921</v>
      </c>
      <c r="B313" s="336" t="s">
        <v>2122</v>
      </c>
      <c r="C313" s="366" t="s">
        <v>2326</v>
      </c>
      <c r="D313" s="351" t="s">
        <v>2273</v>
      </c>
      <c r="E313" s="365" t="s">
        <v>2327</v>
      </c>
      <c r="F313" s="336" t="s">
        <v>2132</v>
      </c>
      <c r="G313" s="352" t="s">
        <v>1594</v>
      </c>
      <c r="H313" s="354">
        <v>51691.29</v>
      </c>
    </row>
    <row r="314" spans="1:8" ht="63.75" x14ac:dyDescent="0.25">
      <c r="A314" s="363">
        <v>44921</v>
      </c>
      <c r="B314" s="336" t="s">
        <v>2122</v>
      </c>
      <c r="C314" s="366" t="s">
        <v>2328</v>
      </c>
      <c r="D314" s="351" t="s">
        <v>2273</v>
      </c>
      <c r="E314" s="365" t="s">
        <v>2329</v>
      </c>
      <c r="F314" s="336" t="s">
        <v>2132</v>
      </c>
      <c r="G314" s="352" t="s">
        <v>1594</v>
      </c>
      <c r="H314" s="354">
        <v>51691.29</v>
      </c>
    </row>
    <row r="315" spans="1:8" ht="63.75" x14ac:dyDescent="0.25">
      <c r="A315" s="363">
        <v>44921</v>
      </c>
      <c r="B315" s="336" t="s">
        <v>2122</v>
      </c>
      <c r="C315" s="366" t="s">
        <v>2330</v>
      </c>
      <c r="D315" s="351" t="s">
        <v>2273</v>
      </c>
      <c r="E315" s="365" t="s">
        <v>2331</v>
      </c>
      <c r="F315" s="336" t="s">
        <v>2132</v>
      </c>
      <c r="G315" s="352" t="s">
        <v>1594</v>
      </c>
      <c r="H315" s="354">
        <v>51691.29</v>
      </c>
    </row>
    <row r="316" spans="1:8" ht="75" x14ac:dyDescent="0.25">
      <c r="A316" s="394">
        <v>44950</v>
      </c>
      <c r="B316" s="397" t="s">
        <v>4084</v>
      </c>
      <c r="C316" s="398" t="s">
        <v>4085</v>
      </c>
      <c r="D316" s="399" t="s">
        <v>4086</v>
      </c>
      <c r="E316" s="395" t="s">
        <v>18</v>
      </c>
      <c r="F316" s="397" t="s">
        <v>4080</v>
      </c>
      <c r="G316" s="360" t="s">
        <v>1443</v>
      </c>
      <c r="H316" s="396">
        <v>14999.99</v>
      </c>
    </row>
    <row r="317" spans="1:8" ht="75" x14ac:dyDescent="0.25">
      <c r="A317" s="394">
        <v>44950</v>
      </c>
      <c r="B317" s="397" t="s">
        <v>4084</v>
      </c>
      <c r="C317" s="398" t="s">
        <v>4129</v>
      </c>
      <c r="D317" s="399" t="s">
        <v>4086</v>
      </c>
      <c r="E317" s="395" t="s">
        <v>18</v>
      </c>
      <c r="F317" s="397" t="s">
        <v>4080</v>
      </c>
      <c r="G317" s="360" t="s">
        <v>1443</v>
      </c>
      <c r="H317" s="396">
        <v>14999.99</v>
      </c>
    </row>
    <row r="318" spans="1:8" ht="75" x14ac:dyDescent="0.25">
      <c r="A318" s="394">
        <v>44950</v>
      </c>
      <c r="B318" s="397" t="s">
        <v>4084</v>
      </c>
      <c r="C318" s="398" t="s">
        <v>4130</v>
      </c>
      <c r="D318" s="399" t="s">
        <v>4086</v>
      </c>
      <c r="E318" s="395" t="s">
        <v>18</v>
      </c>
      <c r="F318" s="397" t="s">
        <v>4080</v>
      </c>
      <c r="G318" s="360" t="s">
        <v>1443</v>
      </c>
      <c r="H318" s="396">
        <v>14999.99</v>
      </c>
    </row>
    <row r="319" spans="1:8" ht="75" x14ac:dyDescent="0.25">
      <c r="A319" s="394">
        <v>44950</v>
      </c>
      <c r="B319" s="397" t="s">
        <v>4084</v>
      </c>
      <c r="C319" s="398" t="s">
        <v>4131</v>
      </c>
      <c r="D319" s="399" t="s">
        <v>4086</v>
      </c>
      <c r="E319" s="395" t="s">
        <v>18</v>
      </c>
      <c r="F319" s="397" t="s">
        <v>4080</v>
      </c>
      <c r="G319" s="360" t="s">
        <v>1443</v>
      </c>
      <c r="H319" s="396">
        <v>14999.99</v>
      </c>
    </row>
    <row r="320" spans="1:8" ht="60" x14ac:dyDescent="0.25">
      <c r="A320" s="394">
        <v>44950</v>
      </c>
      <c r="B320" s="397" t="s">
        <v>4084</v>
      </c>
      <c r="C320" s="398" t="s">
        <v>4132</v>
      </c>
      <c r="D320" s="399" t="s">
        <v>4086</v>
      </c>
      <c r="E320" s="395" t="s">
        <v>18</v>
      </c>
      <c r="F320" s="397" t="s">
        <v>4081</v>
      </c>
      <c r="G320" s="360" t="s">
        <v>1443</v>
      </c>
      <c r="H320" s="396">
        <v>14999.99</v>
      </c>
    </row>
    <row r="321" spans="1:8" ht="60" x14ac:dyDescent="0.25">
      <c r="A321" s="394">
        <v>44950</v>
      </c>
      <c r="B321" s="397" t="s">
        <v>4084</v>
      </c>
      <c r="C321" s="398" t="s">
        <v>4133</v>
      </c>
      <c r="D321" s="399" t="s">
        <v>4086</v>
      </c>
      <c r="E321" s="395" t="s">
        <v>18</v>
      </c>
      <c r="F321" s="397" t="s">
        <v>4081</v>
      </c>
      <c r="G321" s="360" t="s">
        <v>1443</v>
      </c>
      <c r="H321" s="396">
        <v>14999.99</v>
      </c>
    </row>
    <row r="322" spans="1:8" ht="75" x14ac:dyDescent="0.25">
      <c r="A322" s="394">
        <v>44950</v>
      </c>
      <c r="B322" s="397" t="s">
        <v>4084</v>
      </c>
      <c r="C322" s="398" t="s">
        <v>4134</v>
      </c>
      <c r="D322" s="399" t="s">
        <v>4086</v>
      </c>
      <c r="E322" s="395" t="s">
        <v>18</v>
      </c>
      <c r="F322" s="397" t="s">
        <v>4088</v>
      </c>
      <c r="G322" s="360" t="s">
        <v>4079</v>
      </c>
      <c r="H322" s="396">
        <v>14999.99</v>
      </c>
    </row>
    <row r="323" spans="1:8" ht="75" x14ac:dyDescent="0.25">
      <c r="A323" s="394">
        <v>44950</v>
      </c>
      <c r="B323" s="397" t="s">
        <v>4084</v>
      </c>
      <c r="C323" s="398" t="s">
        <v>4135</v>
      </c>
      <c r="D323" s="399" t="s">
        <v>4086</v>
      </c>
      <c r="E323" s="395" t="s">
        <v>18</v>
      </c>
      <c r="F323" s="397" t="s">
        <v>4088</v>
      </c>
      <c r="G323" s="360" t="s">
        <v>4079</v>
      </c>
      <c r="H323" s="396">
        <v>14999.99</v>
      </c>
    </row>
    <row r="324" spans="1:8" ht="75" x14ac:dyDescent="0.25">
      <c r="A324" s="394">
        <v>44950</v>
      </c>
      <c r="B324" s="397" t="s">
        <v>4084</v>
      </c>
      <c r="C324" s="398" t="s">
        <v>4136</v>
      </c>
      <c r="D324" s="404" t="s">
        <v>4087</v>
      </c>
      <c r="E324" s="395" t="s">
        <v>18</v>
      </c>
      <c r="F324" s="397" t="s">
        <v>4080</v>
      </c>
      <c r="G324" s="360" t="s">
        <v>1443</v>
      </c>
      <c r="H324" s="388">
        <v>13500</v>
      </c>
    </row>
    <row r="325" spans="1:8" ht="75" x14ac:dyDescent="0.25">
      <c r="A325" s="394">
        <v>44950</v>
      </c>
      <c r="B325" s="397" t="s">
        <v>4084</v>
      </c>
      <c r="C325" s="398" t="s">
        <v>4137</v>
      </c>
      <c r="D325" s="404" t="s">
        <v>4087</v>
      </c>
      <c r="E325" s="395" t="s">
        <v>18</v>
      </c>
      <c r="F325" s="397" t="s">
        <v>4080</v>
      </c>
      <c r="G325" s="360" t="s">
        <v>1443</v>
      </c>
      <c r="H325" s="388">
        <v>13500</v>
      </c>
    </row>
    <row r="326" spans="1:8" ht="75" x14ac:dyDescent="0.25">
      <c r="A326" s="394">
        <v>44950</v>
      </c>
      <c r="B326" s="397" t="s">
        <v>4084</v>
      </c>
      <c r="C326" s="398" t="s">
        <v>4138</v>
      </c>
      <c r="D326" s="404" t="s">
        <v>4087</v>
      </c>
      <c r="E326" s="395" t="s">
        <v>18</v>
      </c>
      <c r="F326" s="397" t="s">
        <v>4080</v>
      </c>
      <c r="G326" s="360" t="s">
        <v>1443</v>
      </c>
      <c r="H326" s="388">
        <v>13500</v>
      </c>
    </row>
    <row r="327" spans="1:8" ht="75" x14ac:dyDescent="0.25">
      <c r="A327" s="394">
        <v>44950</v>
      </c>
      <c r="B327" s="397" t="s">
        <v>4084</v>
      </c>
      <c r="C327" s="398" t="s">
        <v>4139</v>
      </c>
      <c r="D327" s="404" t="s">
        <v>4087</v>
      </c>
      <c r="E327" s="395" t="s">
        <v>18</v>
      </c>
      <c r="F327" s="397" t="s">
        <v>4080</v>
      </c>
      <c r="G327" s="360" t="s">
        <v>1443</v>
      </c>
      <c r="H327" s="388">
        <v>13500</v>
      </c>
    </row>
    <row r="328" spans="1:8" ht="60" x14ac:dyDescent="0.25">
      <c r="A328" s="394">
        <v>44950</v>
      </c>
      <c r="B328" s="397" t="s">
        <v>4084</v>
      </c>
      <c r="C328" s="398" t="s">
        <v>4140</v>
      </c>
      <c r="D328" s="404" t="s">
        <v>4087</v>
      </c>
      <c r="E328" s="395" t="s">
        <v>18</v>
      </c>
      <c r="F328" s="402" t="s">
        <v>4075</v>
      </c>
      <c r="G328" s="360" t="s">
        <v>1443</v>
      </c>
      <c r="H328" s="388">
        <v>13500</v>
      </c>
    </row>
    <row r="329" spans="1:8" ht="60" x14ac:dyDescent="0.25">
      <c r="A329" s="394">
        <v>44950</v>
      </c>
      <c r="B329" s="397" t="s">
        <v>4084</v>
      </c>
      <c r="C329" s="398" t="s">
        <v>4141</v>
      </c>
      <c r="D329" s="404" t="s">
        <v>4087</v>
      </c>
      <c r="E329" s="395" t="s">
        <v>18</v>
      </c>
      <c r="F329" s="402" t="s">
        <v>4075</v>
      </c>
      <c r="G329" s="360" t="s">
        <v>1443</v>
      </c>
      <c r="H329" s="388">
        <v>13500</v>
      </c>
    </row>
    <row r="330" spans="1:8" ht="60" x14ac:dyDescent="0.25">
      <c r="A330" s="394">
        <v>44950</v>
      </c>
      <c r="B330" s="397" t="s">
        <v>4084</v>
      </c>
      <c r="C330" s="398" t="s">
        <v>4142</v>
      </c>
      <c r="D330" s="404" t="s">
        <v>4087</v>
      </c>
      <c r="E330" s="395" t="s">
        <v>18</v>
      </c>
      <c r="F330" s="402" t="s">
        <v>4075</v>
      </c>
      <c r="G330" s="360" t="s">
        <v>1443</v>
      </c>
      <c r="H330" s="388">
        <v>13500</v>
      </c>
    </row>
    <row r="331" spans="1:8" ht="60" x14ac:dyDescent="0.25">
      <c r="A331" s="394">
        <v>44950</v>
      </c>
      <c r="B331" s="397" t="s">
        <v>4084</v>
      </c>
      <c r="C331" s="398" t="s">
        <v>4143</v>
      </c>
      <c r="D331" s="404" t="s">
        <v>4087</v>
      </c>
      <c r="E331" s="395" t="s">
        <v>18</v>
      </c>
      <c r="F331" s="403" t="s">
        <v>4081</v>
      </c>
      <c r="G331" s="360" t="s">
        <v>1443</v>
      </c>
      <c r="H331" s="388">
        <v>13500</v>
      </c>
    </row>
    <row r="332" spans="1:8" ht="60" x14ac:dyDescent="0.25">
      <c r="A332" s="394">
        <v>44950</v>
      </c>
      <c r="B332" s="397" t="s">
        <v>4084</v>
      </c>
      <c r="C332" s="398" t="s">
        <v>4144</v>
      </c>
      <c r="D332" s="404" t="s">
        <v>4087</v>
      </c>
      <c r="E332" s="395" t="s">
        <v>18</v>
      </c>
      <c r="F332" s="403" t="s">
        <v>4081</v>
      </c>
      <c r="G332" s="360" t="s">
        <v>1443</v>
      </c>
      <c r="H332" s="388">
        <v>13500</v>
      </c>
    </row>
    <row r="333" spans="1:8" ht="60" x14ac:dyDescent="0.25">
      <c r="A333" s="394">
        <v>44950</v>
      </c>
      <c r="B333" s="397" t="s">
        <v>4084</v>
      </c>
      <c r="C333" s="398" t="s">
        <v>4145</v>
      </c>
      <c r="D333" s="404" t="s">
        <v>4087</v>
      </c>
      <c r="E333" s="395" t="s">
        <v>18</v>
      </c>
      <c r="F333" s="403" t="s">
        <v>4081</v>
      </c>
      <c r="G333" s="360" t="s">
        <v>1443</v>
      </c>
      <c r="H333" s="388">
        <v>13500</v>
      </c>
    </row>
    <row r="334" spans="1:8" ht="60" x14ac:dyDescent="0.25">
      <c r="A334" s="394">
        <v>44950</v>
      </c>
      <c r="B334" s="397" t="s">
        <v>4084</v>
      </c>
      <c r="C334" s="398" t="s">
        <v>4146</v>
      </c>
      <c r="D334" s="404" t="s">
        <v>4087</v>
      </c>
      <c r="E334" s="395" t="s">
        <v>18</v>
      </c>
      <c r="F334" s="403" t="s">
        <v>4081</v>
      </c>
      <c r="G334" s="360" t="s">
        <v>1443</v>
      </c>
      <c r="H334" s="388">
        <v>13500</v>
      </c>
    </row>
    <row r="335" spans="1:8" ht="60" x14ac:dyDescent="0.25">
      <c r="A335" s="394">
        <v>44950</v>
      </c>
      <c r="B335" s="397" t="s">
        <v>4084</v>
      </c>
      <c r="C335" s="398" t="s">
        <v>4147</v>
      </c>
      <c r="D335" s="404" t="s">
        <v>4087</v>
      </c>
      <c r="E335" s="395" t="s">
        <v>18</v>
      </c>
      <c r="F335" s="403" t="s">
        <v>4081</v>
      </c>
      <c r="G335" s="360" t="s">
        <v>1443</v>
      </c>
      <c r="H335" s="388">
        <v>13500</v>
      </c>
    </row>
    <row r="336" spans="1:8" ht="75" x14ac:dyDescent="0.25">
      <c r="A336" s="394">
        <v>44950</v>
      </c>
      <c r="B336" s="397" t="s">
        <v>4084</v>
      </c>
      <c r="C336" s="398" t="s">
        <v>4148</v>
      </c>
      <c r="D336" s="404" t="s">
        <v>4087</v>
      </c>
      <c r="E336" s="395" t="s">
        <v>18</v>
      </c>
      <c r="F336" s="403" t="s">
        <v>4077</v>
      </c>
      <c r="G336" s="405" t="s">
        <v>4079</v>
      </c>
      <c r="H336" s="388">
        <v>13500</v>
      </c>
    </row>
    <row r="337" spans="1:8" ht="60" x14ac:dyDescent="0.25">
      <c r="A337" s="394">
        <v>44950</v>
      </c>
      <c r="B337" s="397" t="s">
        <v>4084</v>
      </c>
      <c r="C337" s="398" t="s">
        <v>4149</v>
      </c>
      <c r="D337" s="404" t="s">
        <v>4087</v>
      </c>
      <c r="E337" s="395" t="s">
        <v>18</v>
      </c>
      <c r="F337" s="402" t="s">
        <v>4078</v>
      </c>
      <c r="G337" s="405" t="s">
        <v>4079</v>
      </c>
      <c r="H337" s="388">
        <v>13500</v>
      </c>
    </row>
    <row r="338" spans="1:8" ht="60" x14ac:dyDescent="0.25">
      <c r="A338" s="394">
        <v>44950</v>
      </c>
      <c r="B338" s="397" t="s">
        <v>4084</v>
      </c>
      <c r="C338" s="398" t="s">
        <v>4150</v>
      </c>
      <c r="D338" s="404" t="s">
        <v>4087</v>
      </c>
      <c r="E338" s="395" t="s">
        <v>18</v>
      </c>
      <c r="F338" s="402" t="s">
        <v>4078</v>
      </c>
      <c r="G338" s="405" t="s">
        <v>4079</v>
      </c>
      <c r="H338" s="388">
        <v>13500</v>
      </c>
    </row>
    <row r="339" spans="1:8" ht="75" x14ac:dyDescent="0.25">
      <c r="A339" s="394">
        <v>44950</v>
      </c>
      <c r="B339" s="397" t="s">
        <v>4084</v>
      </c>
      <c r="C339" s="398" t="s">
        <v>4151</v>
      </c>
      <c r="D339" s="403" t="s">
        <v>4089</v>
      </c>
      <c r="E339" s="395" t="s">
        <v>18</v>
      </c>
      <c r="F339" s="403" t="s">
        <v>4080</v>
      </c>
      <c r="G339" s="403" t="s">
        <v>1443</v>
      </c>
      <c r="H339" s="388">
        <v>65000</v>
      </c>
    </row>
    <row r="340" spans="1:8" ht="60" x14ac:dyDescent="0.25">
      <c r="A340" s="394">
        <v>44950</v>
      </c>
      <c r="B340" s="397" t="s">
        <v>4084</v>
      </c>
      <c r="C340" s="398" t="s">
        <v>4152</v>
      </c>
      <c r="D340" s="403" t="s">
        <v>4089</v>
      </c>
      <c r="E340" s="395" t="s">
        <v>18</v>
      </c>
      <c r="F340" s="403" t="s">
        <v>4081</v>
      </c>
      <c r="G340" s="403" t="s">
        <v>1443</v>
      </c>
      <c r="H340" s="388">
        <v>65000</v>
      </c>
    </row>
    <row r="341" spans="1:8" ht="60" x14ac:dyDescent="0.25">
      <c r="A341" s="394">
        <v>44950</v>
      </c>
      <c r="B341" s="397" t="s">
        <v>4084</v>
      </c>
      <c r="C341" s="398" t="s">
        <v>4153</v>
      </c>
      <c r="D341" s="403" t="s">
        <v>4089</v>
      </c>
      <c r="E341" s="395" t="s">
        <v>18</v>
      </c>
      <c r="F341" s="403" t="s">
        <v>4081</v>
      </c>
      <c r="G341" s="403" t="s">
        <v>1443</v>
      </c>
      <c r="H341" s="388">
        <v>65000</v>
      </c>
    </row>
    <row r="342" spans="1:8" ht="60" x14ac:dyDescent="0.25">
      <c r="A342" s="394">
        <v>44950</v>
      </c>
      <c r="B342" s="397" t="s">
        <v>4084</v>
      </c>
      <c r="C342" s="398" t="s">
        <v>4154</v>
      </c>
      <c r="D342" s="403" t="s">
        <v>4089</v>
      </c>
      <c r="E342" s="395" t="s">
        <v>18</v>
      </c>
      <c r="F342" s="403" t="s">
        <v>4081</v>
      </c>
      <c r="G342" s="403" t="s">
        <v>1443</v>
      </c>
      <c r="H342" s="388">
        <v>65000</v>
      </c>
    </row>
    <row r="343" spans="1:8" ht="60" x14ac:dyDescent="0.25">
      <c r="A343" s="394">
        <v>44950</v>
      </c>
      <c r="B343" s="397" t="s">
        <v>4084</v>
      </c>
      <c r="C343" s="398" t="s">
        <v>4155</v>
      </c>
      <c r="D343" s="403" t="s">
        <v>4089</v>
      </c>
      <c r="E343" s="395" t="s">
        <v>18</v>
      </c>
      <c r="F343" s="403" t="s">
        <v>4081</v>
      </c>
      <c r="G343" s="403" t="s">
        <v>1443</v>
      </c>
      <c r="H343" s="388">
        <v>65000</v>
      </c>
    </row>
    <row r="344" spans="1:8" ht="75" x14ac:dyDescent="0.25">
      <c r="A344" s="394">
        <v>44950</v>
      </c>
      <c r="B344" s="397" t="s">
        <v>4084</v>
      </c>
      <c r="C344" s="398" t="s">
        <v>4156</v>
      </c>
      <c r="D344" s="403" t="s">
        <v>4089</v>
      </c>
      <c r="E344" s="395" t="s">
        <v>18</v>
      </c>
      <c r="F344" s="403" t="s">
        <v>4088</v>
      </c>
      <c r="G344" s="400" t="s">
        <v>4079</v>
      </c>
      <c r="H344" s="388">
        <v>65000</v>
      </c>
    </row>
    <row r="345" spans="1:8" ht="60" x14ac:dyDescent="0.25">
      <c r="A345" s="394">
        <v>44950</v>
      </c>
      <c r="B345" s="397" t="s">
        <v>4084</v>
      </c>
      <c r="C345" s="398" t="s">
        <v>4157</v>
      </c>
      <c r="D345" s="403" t="s">
        <v>4090</v>
      </c>
      <c r="E345" s="395" t="s">
        <v>18</v>
      </c>
      <c r="F345" s="403" t="s">
        <v>4081</v>
      </c>
      <c r="G345" s="403" t="s">
        <v>1443</v>
      </c>
      <c r="H345" s="388">
        <v>67500</v>
      </c>
    </row>
    <row r="346" spans="1:8" ht="60" x14ac:dyDescent="0.25">
      <c r="A346" s="394">
        <v>44950</v>
      </c>
      <c r="B346" s="397" t="s">
        <v>4084</v>
      </c>
      <c r="C346" s="398" t="s">
        <v>4158</v>
      </c>
      <c r="D346" s="403" t="s">
        <v>4090</v>
      </c>
      <c r="E346" s="395" t="s">
        <v>18</v>
      </c>
      <c r="F346" s="403" t="s">
        <v>4081</v>
      </c>
      <c r="G346" s="403" t="s">
        <v>1443</v>
      </c>
      <c r="H346" s="388">
        <v>67500</v>
      </c>
    </row>
    <row r="347" spans="1:8" ht="60" x14ac:dyDescent="0.25">
      <c r="A347" s="394">
        <v>44950</v>
      </c>
      <c r="B347" s="397" t="s">
        <v>4084</v>
      </c>
      <c r="C347" s="398" t="s">
        <v>4159</v>
      </c>
      <c r="D347" s="403" t="s">
        <v>4090</v>
      </c>
      <c r="E347" s="395" t="s">
        <v>18</v>
      </c>
      <c r="F347" s="403" t="s">
        <v>4081</v>
      </c>
      <c r="G347" s="403" t="s">
        <v>1443</v>
      </c>
      <c r="H347" s="388">
        <v>67500</v>
      </c>
    </row>
    <row r="348" spans="1:8" ht="75" x14ac:dyDescent="0.25">
      <c r="A348" s="394">
        <v>44950</v>
      </c>
      <c r="B348" s="397" t="s">
        <v>4084</v>
      </c>
      <c r="C348" s="398" t="s">
        <v>4160</v>
      </c>
      <c r="D348" s="403" t="s">
        <v>4090</v>
      </c>
      <c r="E348" s="395" t="s">
        <v>18</v>
      </c>
      <c r="F348" s="403" t="s">
        <v>4077</v>
      </c>
      <c r="G348" s="407" t="s">
        <v>4079</v>
      </c>
      <c r="H348" s="388">
        <v>67500</v>
      </c>
    </row>
    <row r="349" spans="1:8" ht="75" x14ac:dyDescent="0.25">
      <c r="A349" s="394">
        <v>44950</v>
      </c>
      <c r="B349" s="397" t="s">
        <v>4084</v>
      </c>
      <c r="C349" s="398" t="s">
        <v>4161</v>
      </c>
      <c r="D349" s="403" t="s">
        <v>4091</v>
      </c>
      <c r="E349" s="395" t="s">
        <v>18</v>
      </c>
      <c r="F349" s="403" t="s">
        <v>4080</v>
      </c>
      <c r="G349" s="403" t="s">
        <v>1443</v>
      </c>
      <c r="H349" s="388">
        <v>22000</v>
      </c>
    </row>
    <row r="350" spans="1:8" ht="60" x14ac:dyDescent="0.25">
      <c r="A350" s="394">
        <v>44950</v>
      </c>
      <c r="B350" s="397" t="s">
        <v>4084</v>
      </c>
      <c r="C350" s="398" t="s">
        <v>4162</v>
      </c>
      <c r="D350" s="403" t="s">
        <v>4091</v>
      </c>
      <c r="E350" s="395" t="s">
        <v>18</v>
      </c>
      <c r="F350" s="403" t="s">
        <v>4081</v>
      </c>
      <c r="G350" s="403" t="s">
        <v>1443</v>
      </c>
      <c r="H350" s="388">
        <v>22000</v>
      </c>
    </row>
    <row r="351" spans="1:8" ht="75" x14ac:dyDescent="0.25">
      <c r="A351" s="394">
        <v>44950</v>
      </c>
      <c r="B351" s="397" t="s">
        <v>4084</v>
      </c>
      <c r="C351" s="398" t="s">
        <v>4163</v>
      </c>
      <c r="D351" s="403" t="s">
        <v>4091</v>
      </c>
      <c r="E351" s="395" t="s">
        <v>18</v>
      </c>
      <c r="F351" s="403" t="s">
        <v>4077</v>
      </c>
      <c r="G351" s="407" t="s">
        <v>4079</v>
      </c>
      <c r="H351" s="388">
        <v>22000</v>
      </c>
    </row>
    <row r="352" spans="1:8" ht="60" x14ac:dyDescent="0.25">
      <c r="A352" s="394">
        <v>44950</v>
      </c>
      <c r="B352" s="397" t="s">
        <v>4084</v>
      </c>
      <c r="C352" s="398" t="s">
        <v>4164</v>
      </c>
      <c r="D352" s="403" t="s">
        <v>4092</v>
      </c>
      <c r="E352" s="395" t="s">
        <v>18</v>
      </c>
      <c r="F352" s="403" t="s">
        <v>4081</v>
      </c>
      <c r="G352" s="403" t="s">
        <v>1443</v>
      </c>
      <c r="H352" s="388">
        <v>74999.990000000005</v>
      </c>
    </row>
    <row r="353" spans="1:8" ht="60" x14ac:dyDescent="0.25">
      <c r="A353" s="394">
        <v>44950</v>
      </c>
      <c r="B353" s="397" t="s">
        <v>4084</v>
      </c>
      <c r="C353" s="398" t="s">
        <v>4165</v>
      </c>
      <c r="D353" s="403" t="s">
        <v>4092</v>
      </c>
      <c r="E353" s="395" t="s">
        <v>18</v>
      </c>
      <c r="F353" s="403" t="s">
        <v>4081</v>
      </c>
      <c r="G353" s="403" t="s">
        <v>1443</v>
      </c>
      <c r="H353" s="388">
        <v>74999.990000000005</v>
      </c>
    </row>
    <row r="354" spans="1:8" ht="60" x14ac:dyDescent="0.25">
      <c r="A354" s="394">
        <v>44950</v>
      </c>
      <c r="B354" s="397" t="s">
        <v>4084</v>
      </c>
      <c r="C354" s="398" t="s">
        <v>4166</v>
      </c>
      <c r="D354" s="403" t="s">
        <v>4092</v>
      </c>
      <c r="E354" s="395" t="s">
        <v>18</v>
      </c>
      <c r="F354" s="403" t="s">
        <v>4081</v>
      </c>
      <c r="G354" s="403" t="s">
        <v>1443</v>
      </c>
      <c r="H354" s="388">
        <v>74999.990000000005</v>
      </c>
    </row>
    <row r="355" spans="1:8" ht="45" x14ac:dyDescent="0.25">
      <c r="A355" s="394">
        <v>44950</v>
      </c>
      <c r="B355" s="397" t="s">
        <v>4084</v>
      </c>
      <c r="C355" s="398" t="s">
        <v>4167</v>
      </c>
      <c r="D355" s="403" t="s">
        <v>4092</v>
      </c>
      <c r="E355" s="395" t="s">
        <v>18</v>
      </c>
      <c r="F355" s="403" t="s">
        <v>4076</v>
      </c>
      <c r="G355" s="407" t="s">
        <v>4079</v>
      </c>
      <c r="H355" s="388">
        <v>74999.990000000005</v>
      </c>
    </row>
    <row r="356" spans="1:8" ht="75" x14ac:dyDescent="0.25">
      <c r="A356" s="363">
        <v>44950</v>
      </c>
      <c r="B356" s="397" t="s">
        <v>4084</v>
      </c>
      <c r="C356" s="398" t="s">
        <v>4168</v>
      </c>
      <c r="D356" s="403" t="s">
        <v>4092</v>
      </c>
      <c r="E356" s="395" t="s">
        <v>18</v>
      </c>
      <c r="F356" s="403" t="s">
        <v>4077</v>
      </c>
      <c r="G356" s="407" t="s">
        <v>4079</v>
      </c>
      <c r="H356" s="388">
        <v>74999.990000000005</v>
      </c>
    </row>
    <row r="357" spans="1:8" ht="60" x14ac:dyDescent="0.25">
      <c r="A357" s="363">
        <v>44950</v>
      </c>
      <c r="B357" s="397" t="s">
        <v>4084</v>
      </c>
      <c r="C357" s="398" t="s">
        <v>4169</v>
      </c>
      <c r="D357" s="400" t="s">
        <v>4093</v>
      </c>
      <c r="E357" s="395" t="s">
        <v>18</v>
      </c>
      <c r="F357" s="403" t="s">
        <v>4081</v>
      </c>
      <c r="G357" s="403" t="s">
        <v>1443</v>
      </c>
      <c r="H357" s="388">
        <v>7199.99</v>
      </c>
    </row>
    <row r="358" spans="1:8" ht="75" x14ac:dyDescent="0.25">
      <c r="A358" s="363">
        <v>44950</v>
      </c>
      <c r="B358" s="397" t="s">
        <v>4084</v>
      </c>
      <c r="C358" s="398" t="s">
        <v>4170</v>
      </c>
      <c r="D358" s="400" t="s">
        <v>4093</v>
      </c>
      <c r="E358" s="395" t="s">
        <v>18</v>
      </c>
      <c r="F358" s="403" t="s">
        <v>4077</v>
      </c>
      <c r="G358" s="407" t="s">
        <v>4079</v>
      </c>
      <c r="H358" s="388">
        <v>7199.99</v>
      </c>
    </row>
    <row r="359" spans="1:8" ht="60" x14ac:dyDescent="0.25">
      <c r="A359" s="363">
        <v>44950</v>
      </c>
      <c r="B359" s="397" t="s">
        <v>4128</v>
      </c>
      <c r="C359" s="398" t="s">
        <v>4171</v>
      </c>
      <c r="D359" s="400" t="s">
        <v>4093</v>
      </c>
      <c r="E359" s="395" t="s">
        <v>18</v>
      </c>
      <c r="F359" s="403" t="s">
        <v>4078</v>
      </c>
      <c r="G359" s="407" t="s">
        <v>4079</v>
      </c>
      <c r="H359" s="388">
        <v>7199.99</v>
      </c>
    </row>
    <row r="360" spans="1:8" ht="75" x14ac:dyDescent="0.25">
      <c r="A360" s="363">
        <v>44950</v>
      </c>
      <c r="B360" s="397" t="s">
        <v>4084</v>
      </c>
      <c r="C360" s="398" t="s">
        <v>4172</v>
      </c>
      <c r="D360" s="403" t="s">
        <v>4094</v>
      </c>
      <c r="E360" s="395" t="s">
        <v>18</v>
      </c>
      <c r="F360" s="403" t="s">
        <v>4080</v>
      </c>
      <c r="G360" s="403" t="s">
        <v>1443</v>
      </c>
      <c r="H360" s="388">
        <v>17599.990000000002</v>
      </c>
    </row>
    <row r="361" spans="1:8" ht="60" x14ac:dyDescent="0.25">
      <c r="A361" s="363">
        <v>44950</v>
      </c>
      <c r="B361" s="397" t="s">
        <v>4084</v>
      </c>
      <c r="C361" s="398" t="s">
        <v>4173</v>
      </c>
      <c r="D361" s="403" t="s">
        <v>4095</v>
      </c>
      <c r="E361" s="395" t="s">
        <v>18</v>
      </c>
      <c r="F361" s="403" t="s">
        <v>4081</v>
      </c>
      <c r="G361" s="403" t="s">
        <v>1443</v>
      </c>
      <c r="H361" s="388">
        <v>17599.990000000002</v>
      </c>
    </row>
    <row r="362" spans="1:8" ht="75" x14ac:dyDescent="0.25">
      <c r="A362" s="363">
        <v>44950</v>
      </c>
      <c r="B362" s="397" t="s">
        <v>4084</v>
      </c>
      <c r="C362" s="398" t="s">
        <v>4174</v>
      </c>
      <c r="D362" s="403" t="s">
        <v>4096</v>
      </c>
      <c r="E362" s="395" t="s">
        <v>18</v>
      </c>
      <c r="F362" s="403" t="s">
        <v>4077</v>
      </c>
      <c r="G362" s="407" t="s">
        <v>4079</v>
      </c>
      <c r="H362" s="388">
        <v>17599.990000000002</v>
      </c>
    </row>
    <row r="363" spans="1:8" ht="60" x14ac:dyDescent="0.25">
      <c r="A363" s="363">
        <v>44950</v>
      </c>
      <c r="B363" s="397" t="s">
        <v>4084</v>
      </c>
      <c r="C363" s="398" t="s">
        <v>4175</v>
      </c>
      <c r="D363" s="403" t="s">
        <v>4097</v>
      </c>
      <c r="E363" s="395" t="s">
        <v>18</v>
      </c>
      <c r="F363" s="403" t="s">
        <v>4078</v>
      </c>
      <c r="G363" s="403" t="s">
        <v>1443</v>
      </c>
      <c r="H363" s="388">
        <v>17599.990000000002</v>
      </c>
    </row>
    <row r="364" spans="1:8" ht="75" x14ac:dyDescent="0.25">
      <c r="A364" s="363">
        <v>44950</v>
      </c>
      <c r="B364" s="397" t="s">
        <v>4084</v>
      </c>
      <c r="C364" s="398" t="s">
        <v>4176</v>
      </c>
      <c r="D364" s="403" t="s">
        <v>4098</v>
      </c>
      <c r="E364" s="395" t="s">
        <v>18</v>
      </c>
      <c r="F364" s="403" t="s">
        <v>4080</v>
      </c>
      <c r="G364" s="403" t="s">
        <v>1443</v>
      </c>
      <c r="H364" s="388">
        <v>14999.99</v>
      </c>
    </row>
    <row r="365" spans="1:8" ht="75" x14ac:dyDescent="0.25">
      <c r="A365" s="363">
        <v>44950</v>
      </c>
      <c r="B365" s="397" t="s">
        <v>4084</v>
      </c>
      <c r="C365" s="398" t="s">
        <v>4177</v>
      </c>
      <c r="D365" s="403" t="s">
        <v>4098</v>
      </c>
      <c r="E365" s="395" t="s">
        <v>18</v>
      </c>
      <c r="F365" s="403" t="s">
        <v>4080</v>
      </c>
      <c r="G365" s="403" t="s">
        <v>1443</v>
      </c>
      <c r="H365" s="388">
        <v>14999.99</v>
      </c>
    </row>
    <row r="366" spans="1:8" ht="75" x14ac:dyDescent="0.25">
      <c r="A366" s="363">
        <v>44950</v>
      </c>
      <c r="B366" s="397" t="s">
        <v>4084</v>
      </c>
      <c r="C366" s="398" t="s">
        <v>4178</v>
      </c>
      <c r="D366" s="403" t="s">
        <v>4098</v>
      </c>
      <c r="E366" s="395" t="s">
        <v>18</v>
      </c>
      <c r="F366" s="403" t="s">
        <v>4080</v>
      </c>
      <c r="G366" s="403" t="s">
        <v>1443</v>
      </c>
      <c r="H366" s="388">
        <v>14999.99</v>
      </c>
    </row>
    <row r="367" spans="1:8" ht="60" x14ac:dyDescent="0.25">
      <c r="A367" s="363">
        <v>44950</v>
      </c>
      <c r="B367" s="397" t="s">
        <v>4084</v>
      </c>
      <c r="C367" s="398" t="s">
        <v>4179</v>
      </c>
      <c r="D367" s="403" t="s">
        <v>4098</v>
      </c>
      <c r="E367" s="395" t="s">
        <v>18</v>
      </c>
      <c r="F367" s="403" t="s">
        <v>4075</v>
      </c>
      <c r="G367" s="403" t="s">
        <v>1443</v>
      </c>
      <c r="H367" s="388">
        <v>14999.99</v>
      </c>
    </row>
    <row r="368" spans="1:8" ht="60" x14ac:dyDescent="0.25">
      <c r="A368" s="363">
        <v>44950</v>
      </c>
      <c r="B368" s="397" t="s">
        <v>4084</v>
      </c>
      <c r="C368" s="398" t="s">
        <v>4180</v>
      </c>
      <c r="D368" s="403" t="s">
        <v>4098</v>
      </c>
      <c r="E368" s="395" t="s">
        <v>18</v>
      </c>
      <c r="F368" s="403" t="s">
        <v>4075</v>
      </c>
      <c r="G368" s="403" t="s">
        <v>1443</v>
      </c>
      <c r="H368" s="388">
        <v>14999.99</v>
      </c>
    </row>
    <row r="369" spans="1:8" ht="60" x14ac:dyDescent="0.25">
      <c r="A369" s="363">
        <v>44950</v>
      </c>
      <c r="B369" s="397" t="s">
        <v>4084</v>
      </c>
      <c r="C369" s="398" t="s">
        <v>4181</v>
      </c>
      <c r="D369" s="403" t="s">
        <v>4098</v>
      </c>
      <c r="E369" s="395" t="s">
        <v>18</v>
      </c>
      <c r="F369" s="403" t="s">
        <v>4081</v>
      </c>
      <c r="G369" s="403" t="s">
        <v>1443</v>
      </c>
      <c r="H369" s="388">
        <v>14999.99</v>
      </c>
    </row>
    <row r="370" spans="1:8" ht="60" x14ac:dyDescent="0.25">
      <c r="A370" s="363">
        <v>44950</v>
      </c>
      <c r="B370" s="397" t="s">
        <v>4084</v>
      </c>
      <c r="C370" s="398" t="s">
        <v>4182</v>
      </c>
      <c r="D370" s="403" t="s">
        <v>4098</v>
      </c>
      <c r="E370" s="395" t="s">
        <v>18</v>
      </c>
      <c r="F370" s="403" t="s">
        <v>4081</v>
      </c>
      <c r="G370" s="403" t="s">
        <v>1443</v>
      </c>
      <c r="H370" s="388">
        <v>14999.99</v>
      </c>
    </row>
    <row r="371" spans="1:8" ht="60" x14ac:dyDescent="0.25">
      <c r="A371" s="363">
        <v>44950</v>
      </c>
      <c r="B371" s="397" t="s">
        <v>4084</v>
      </c>
      <c r="C371" s="398" t="s">
        <v>4183</v>
      </c>
      <c r="D371" s="403" t="s">
        <v>4098</v>
      </c>
      <c r="E371" s="395" t="s">
        <v>18</v>
      </c>
      <c r="F371" s="403" t="s">
        <v>4081</v>
      </c>
      <c r="G371" s="403" t="s">
        <v>1443</v>
      </c>
      <c r="H371" s="388">
        <v>14999.99</v>
      </c>
    </row>
    <row r="372" spans="1:8" ht="45" x14ac:dyDescent="0.25">
      <c r="A372" s="363">
        <v>44950</v>
      </c>
      <c r="B372" s="397" t="s">
        <v>4084</v>
      </c>
      <c r="C372" s="398" t="s">
        <v>4184</v>
      </c>
      <c r="D372" s="403" t="s">
        <v>4098</v>
      </c>
      <c r="E372" s="395" t="s">
        <v>18</v>
      </c>
      <c r="F372" s="403" t="s">
        <v>4076</v>
      </c>
      <c r="G372" s="407" t="s">
        <v>4079</v>
      </c>
      <c r="H372" s="388">
        <v>14999.99</v>
      </c>
    </row>
    <row r="373" spans="1:8" ht="45" x14ac:dyDescent="0.25">
      <c r="A373" s="363">
        <v>44950</v>
      </c>
      <c r="B373" s="397" t="s">
        <v>4084</v>
      </c>
      <c r="C373" s="398" t="s">
        <v>4185</v>
      </c>
      <c r="D373" s="403" t="s">
        <v>4098</v>
      </c>
      <c r="E373" s="395" t="s">
        <v>18</v>
      </c>
      <c r="F373" s="403" t="s">
        <v>4076</v>
      </c>
      <c r="G373" s="407" t="s">
        <v>4079</v>
      </c>
      <c r="H373" s="388">
        <v>14999.99</v>
      </c>
    </row>
    <row r="374" spans="1:8" ht="45" x14ac:dyDescent="0.25">
      <c r="A374" s="363">
        <v>44950</v>
      </c>
      <c r="B374" s="397" t="s">
        <v>4084</v>
      </c>
      <c r="C374" s="398" t="s">
        <v>4186</v>
      </c>
      <c r="D374" s="403" t="s">
        <v>4098</v>
      </c>
      <c r="E374" s="395" t="s">
        <v>18</v>
      </c>
      <c r="F374" s="403" t="s">
        <v>4076</v>
      </c>
      <c r="G374" s="407" t="s">
        <v>4079</v>
      </c>
      <c r="H374" s="388">
        <v>14999.99</v>
      </c>
    </row>
    <row r="375" spans="1:8" ht="60" x14ac:dyDescent="0.25">
      <c r="A375" s="363">
        <v>44950</v>
      </c>
      <c r="B375" s="397" t="s">
        <v>4084</v>
      </c>
      <c r="C375" s="398" t="s">
        <v>4187</v>
      </c>
      <c r="D375" s="403" t="s">
        <v>4098</v>
      </c>
      <c r="E375" s="395" t="s">
        <v>18</v>
      </c>
      <c r="F375" s="403" t="s">
        <v>4078</v>
      </c>
      <c r="G375" s="407" t="s">
        <v>4079</v>
      </c>
      <c r="H375" s="388">
        <v>14999.99</v>
      </c>
    </row>
    <row r="376" spans="1:8" ht="60" x14ac:dyDescent="0.25">
      <c r="A376" s="363">
        <v>44950</v>
      </c>
      <c r="B376" s="397" t="s">
        <v>4084</v>
      </c>
      <c r="C376" s="398" t="s">
        <v>4188</v>
      </c>
      <c r="D376" s="403" t="s">
        <v>4098</v>
      </c>
      <c r="E376" s="395" t="s">
        <v>18</v>
      </c>
      <c r="F376" s="403" t="s">
        <v>4078</v>
      </c>
      <c r="G376" s="407" t="s">
        <v>4079</v>
      </c>
      <c r="H376" s="388">
        <v>14999.99</v>
      </c>
    </row>
    <row r="377" spans="1:8" ht="75" x14ac:dyDescent="0.25">
      <c r="A377" s="363">
        <v>44950</v>
      </c>
      <c r="B377" s="397" t="s">
        <v>4084</v>
      </c>
      <c r="C377" s="398" t="s">
        <v>4189</v>
      </c>
      <c r="D377" s="403" t="s">
        <v>4099</v>
      </c>
      <c r="E377" s="395" t="s">
        <v>18</v>
      </c>
      <c r="F377" s="403" t="s">
        <v>4080</v>
      </c>
      <c r="G377" s="403" t="s">
        <v>1443</v>
      </c>
      <c r="H377" s="388">
        <v>36499.99</v>
      </c>
    </row>
    <row r="378" spans="1:8" ht="75" x14ac:dyDescent="0.25">
      <c r="A378" s="363">
        <v>44950</v>
      </c>
      <c r="B378" s="397" t="s">
        <v>4084</v>
      </c>
      <c r="C378" s="398" t="s">
        <v>4190</v>
      </c>
      <c r="D378" s="403" t="s">
        <v>4099</v>
      </c>
      <c r="E378" s="395" t="s">
        <v>18</v>
      </c>
      <c r="F378" s="403" t="s">
        <v>4080</v>
      </c>
      <c r="G378" s="403" t="s">
        <v>1443</v>
      </c>
      <c r="H378" s="388">
        <v>36499.99</v>
      </c>
    </row>
    <row r="379" spans="1:8" ht="60" x14ac:dyDescent="0.25">
      <c r="A379" s="363">
        <v>44950</v>
      </c>
      <c r="B379" s="397" t="s">
        <v>4084</v>
      </c>
      <c r="C379" s="398" t="s">
        <v>4191</v>
      </c>
      <c r="D379" s="403" t="s">
        <v>4099</v>
      </c>
      <c r="E379" s="395" t="s">
        <v>18</v>
      </c>
      <c r="F379" s="403" t="s">
        <v>4075</v>
      </c>
      <c r="G379" s="403" t="s">
        <v>1443</v>
      </c>
      <c r="H379" s="388">
        <v>36499.99</v>
      </c>
    </row>
    <row r="380" spans="1:8" ht="60" x14ac:dyDescent="0.25">
      <c r="A380" s="363">
        <v>44950</v>
      </c>
      <c r="B380" s="397" t="s">
        <v>4084</v>
      </c>
      <c r="C380" s="398" t="s">
        <v>4192</v>
      </c>
      <c r="D380" s="403" t="s">
        <v>4099</v>
      </c>
      <c r="E380" s="395" t="s">
        <v>18</v>
      </c>
      <c r="F380" s="403" t="s">
        <v>4081</v>
      </c>
      <c r="G380" s="403" t="s">
        <v>1443</v>
      </c>
      <c r="H380" s="388">
        <v>36499.99</v>
      </c>
    </row>
    <row r="381" spans="1:8" ht="60" x14ac:dyDescent="0.25">
      <c r="A381" s="363">
        <v>44950</v>
      </c>
      <c r="B381" s="397" t="s">
        <v>4084</v>
      </c>
      <c r="C381" s="398" t="s">
        <v>4193</v>
      </c>
      <c r="D381" s="403" t="s">
        <v>4099</v>
      </c>
      <c r="E381" s="395" t="s">
        <v>18</v>
      </c>
      <c r="F381" s="403" t="s">
        <v>4081</v>
      </c>
      <c r="G381" s="403" t="s">
        <v>1443</v>
      </c>
      <c r="H381" s="388">
        <v>36499.99</v>
      </c>
    </row>
    <row r="382" spans="1:8" ht="60" x14ac:dyDescent="0.25">
      <c r="A382" s="363">
        <v>44950</v>
      </c>
      <c r="B382" s="397" t="s">
        <v>4084</v>
      </c>
      <c r="C382" s="398" t="s">
        <v>4194</v>
      </c>
      <c r="D382" s="403" t="s">
        <v>4099</v>
      </c>
      <c r="E382" s="395" t="s">
        <v>18</v>
      </c>
      <c r="F382" s="403" t="s">
        <v>4081</v>
      </c>
      <c r="G382" s="403" t="s">
        <v>1443</v>
      </c>
      <c r="H382" s="388">
        <v>36499.99</v>
      </c>
    </row>
    <row r="383" spans="1:8" ht="60" x14ac:dyDescent="0.25">
      <c r="A383" s="363">
        <v>44950</v>
      </c>
      <c r="B383" s="397" t="s">
        <v>4084</v>
      </c>
      <c r="C383" s="398" t="s">
        <v>4195</v>
      </c>
      <c r="D383" s="403" t="s">
        <v>4099</v>
      </c>
      <c r="E383" s="395" t="s">
        <v>18</v>
      </c>
      <c r="F383" s="403" t="s">
        <v>4081</v>
      </c>
      <c r="G383" s="403" t="s">
        <v>1443</v>
      </c>
      <c r="H383" s="388">
        <v>36499.99</v>
      </c>
    </row>
    <row r="384" spans="1:8" ht="60" x14ac:dyDescent="0.25">
      <c r="A384" s="363">
        <v>44950</v>
      </c>
      <c r="B384" s="397" t="s">
        <v>4084</v>
      </c>
      <c r="C384" s="398" t="s">
        <v>4196</v>
      </c>
      <c r="D384" s="403" t="s">
        <v>4099</v>
      </c>
      <c r="E384" s="395" t="s">
        <v>18</v>
      </c>
      <c r="F384" s="403" t="s">
        <v>4081</v>
      </c>
      <c r="G384" s="403" t="s">
        <v>1443</v>
      </c>
      <c r="H384" s="388">
        <v>36499.99</v>
      </c>
    </row>
    <row r="385" spans="1:8" ht="60" x14ac:dyDescent="0.25">
      <c r="A385" s="363">
        <v>44950</v>
      </c>
      <c r="B385" s="397" t="s">
        <v>4084</v>
      </c>
      <c r="C385" s="398" t="s">
        <v>4197</v>
      </c>
      <c r="D385" s="403" t="s">
        <v>4099</v>
      </c>
      <c r="E385" s="395" t="s">
        <v>18</v>
      </c>
      <c r="F385" s="403" t="s">
        <v>4081</v>
      </c>
      <c r="G385" s="403" t="s">
        <v>1443</v>
      </c>
      <c r="H385" s="388">
        <v>36499.99</v>
      </c>
    </row>
    <row r="386" spans="1:8" ht="60" x14ac:dyDescent="0.25">
      <c r="A386" s="363">
        <v>44950</v>
      </c>
      <c r="B386" s="397" t="s">
        <v>4084</v>
      </c>
      <c r="C386" s="398" t="s">
        <v>4198</v>
      </c>
      <c r="D386" s="403" t="s">
        <v>4099</v>
      </c>
      <c r="E386" s="395" t="s">
        <v>18</v>
      </c>
      <c r="F386" s="403" t="s">
        <v>4081</v>
      </c>
      <c r="G386" s="403" t="s">
        <v>1443</v>
      </c>
      <c r="H386" s="388">
        <v>36499.99</v>
      </c>
    </row>
    <row r="387" spans="1:8" ht="60" x14ac:dyDescent="0.25">
      <c r="A387" s="363">
        <v>44950</v>
      </c>
      <c r="B387" s="397" t="s">
        <v>4084</v>
      </c>
      <c r="C387" s="398" t="s">
        <v>4199</v>
      </c>
      <c r="D387" s="403" t="s">
        <v>4099</v>
      </c>
      <c r="E387" s="395" t="s">
        <v>18</v>
      </c>
      <c r="F387" s="403" t="s">
        <v>4081</v>
      </c>
      <c r="G387" s="403" t="s">
        <v>1443</v>
      </c>
      <c r="H387" s="388">
        <v>36499.99</v>
      </c>
    </row>
    <row r="388" spans="1:8" ht="60" x14ac:dyDescent="0.25">
      <c r="A388" s="363">
        <v>44950</v>
      </c>
      <c r="B388" s="397" t="s">
        <v>4084</v>
      </c>
      <c r="C388" s="398" t="s">
        <v>4200</v>
      </c>
      <c r="D388" s="403" t="s">
        <v>4099</v>
      </c>
      <c r="E388" s="395" t="s">
        <v>18</v>
      </c>
      <c r="F388" s="403" t="s">
        <v>4081</v>
      </c>
      <c r="G388" s="403" t="s">
        <v>1443</v>
      </c>
      <c r="H388" s="388">
        <v>36499.99</v>
      </c>
    </row>
    <row r="389" spans="1:8" ht="60" x14ac:dyDescent="0.25">
      <c r="A389" s="363">
        <v>44950</v>
      </c>
      <c r="B389" s="397" t="s">
        <v>4084</v>
      </c>
      <c r="C389" s="398" t="s">
        <v>4201</v>
      </c>
      <c r="D389" s="403" t="s">
        <v>4099</v>
      </c>
      <c r="E389" s="395" t="s">
        <v>18</v>
      </c>
      <c r="F389" s="403" t="s">
        <v>4081</v>
      </c>
      <c r="G389" s="403" t="s">
        <v>1443</v>
      </c>
      <c r="H389" s="388">
        <v>36499.99</v>
      </c>
    </row>
    <row r="390" spans="1:8" ht="60" x14ac:dyDescent="0.25">
      <c r="A390" s="363">
        <v>44950</v>
      </c>
      <c r="B390" s="397" t="s">
        <v>4084</v>
      </c>
      <c r="C390" s="398" t="s">
        <v>4202</v>
      </c>
      <c r="D390" s="403" t="s">
        <v>4099</v>
      </c>
      <c r="E390" s="395" t="s">
        <v>18</v>
      </c>
      <c r="F390" s="403" t="s">
        <v>4081</v>
      </c>
      <c r="G390" s="403" t="s">
        <v>1443</v>
      </c>
      <c r="H390" s="388">
        <v>36499.99</v>
      </c>
    </row>
    <row r="391" spans="1:8" ht="60" x14ac:dyDescent="0.25">
      <c r="A391" s="363">
        <v>44950</v>
      </c>
      <c r="B391" s="397" t="s">
        <v>4084</v>
      </c>
      <c r="C391" s="398" t="s">
        <v>4203</v>
      </c>
      <c r="D391" s="403" t="s">
        <v>4099</v>
      </c>
      <c r="E391" s="395" t="s">
        <v>18</v>
      </c>
      <c r="F391" s="403" t="s">
        <v>4081</v>
      </c>
      <c r="G391" s="403" t="s">
        <v>1443</v>
      </c>
      <c r="H391" s="388">
        <v>36499.99</v>
      </c>
    </row>
    <row r="392" spans="1:8" ht="75" x14ac:dyDescent="0.25">
      <c r="A392" s="363">
        <v>44950</v>
      </c>
      <c r="B392" s="397" t="s">
        <v>4084</v>
      </c>
      <c r="C392" s="398" t="s">
        <v>4204</v>
      </c>
      <c r="D392" s="403" t="s">
        <v>4099</v>
      </c>
      <c r="E392" s="395" t="s">
        <v>18</v>
      </c>
      <c r="F392" s="403" t="s">
        <v>4077</v>
      </c>
      <c r="G392" s="407" t="s">
        <v>4079</v>
      </c>
      <c r="H392" s="388">
        <v>36499.99</v>
      </c>
    </row>
    <row r="393" spans="1:8" ht="75" x14ac:dyDescent="0.25">
      <c r="A393" s="363">
        <v>44950</v>
      </c>
      <c r="B393" s="397" t="s">
        <v>4084</v>
      </c>
      <c r="C393" s="398" t="s">
        <v>4205</v>
      </c>
      <c r="D393" s="403" t="s">
        <v>4099</v>
      </c>
      <c r="E393" s="395" t="s">
        <v>18</v>
      </c>
      <c r="F393" s="403" t="s">
        <v>4077</v>
      </c>
      <c r="G393" s="407" t="s">
        <v>4079</v>
      </c>
      <c r="H393" s="388">
        <v>36499.99</v>
      </c>
    </row>
    <row r="394" spans="1:8" ht="60" x14ac:dyDescent="0.25">
      <c r="A394" s="363">
        <v>44950</v>
      </c>
      <c r="B394" s="397" t="s">
        <v>4084</v>
      </c>
      <c r="C394" s="398" t="s">
        <v>4206</v>
      </c>
      <c r="D394" s="403" t="s">
        <v>4099</v>
      </c>
      <c r="E394" s="395" t="s">
        <v>18</v>
      </c>
      <c r="F394" s="403" t="s">
        <v>4078</v>
      </c>
      <c r="G394" s="403" t="s">
        <v>1443</v>
      </c>
      <c r="H394" s="388">
        <v>36499.99</v>
      </c>
    </row>
    <row r="395" spans="1:8" ht="60" x14ac:dyDescent="0.25">
      <c r="A395" s="363">
        <v>44950</v>
      </c>
      <c r="B395" s="397" t="s">
        <v>4084</v>
      </c>
      <c r="C395" s="398" t="s">
        <v>4207</v>
      </c>
      <c r="D395" s="403" t="s">
        <v>4099</v>
      </c>
      <c r="E395" s="395" t="s">
        <v>18</v>
      </c>
      <c r="F395" s="403" t="s">
        <v>4078</v>
      </c>
      <c r="G395" s="403" t="s">
        <v>1443</v>
      </c>
      <c r="H395" s="388">
        <v>36499.99</v>
      </c>
    </row>
    <row r="396" spans="1:8" ht="60" x14ac:dyDescent="0.25">
      <c r="A396" s="363">
        <v>44950</v>
      </c>
      <c r="B396" s="397" t="s">
        <v>4084</v>
      </c>
      <c r="C396" s="398" t="s">
        <v>4208</v>
      </c>
      <c r="D396" s="403" t="s">
        <v>4100</v>
      </c>
      <c r="E396" s="395" t="s">
        <v>18</v>
      </c>
      <c r="F396" s="403" t="s">
        <v>4081</v>
      </c>
      <c r="G396" s="403" t="s">
        <v>1443</v>
      </c>
      <c r="H396" s="388">
        <v>72500</v>
      </c>
    </row>
    <row r="397" spans="1:8" ht="75" x14ac:dyDescent="0.25">
      <c r="A397" s="363">
        <v>44950</v>
      </c>
      <c r="B397" s="397" t="s">
        <v>4084</v>
      </c>
      <c r="C397" s="398" t="s">
        <v>4209</v>
      </c>
      <c r="D397" s="403" t="s">
        <v>4100</v>
      </c>
      <c r="E397" s="395" t="s">
        <v>18</v>
      </c>
      <c r="F397" s="403" t="s">
        <v>4077</v>
      </c>
      <c r="G397" s="407" t="s">
        <v>4079</v>
      </c>
      <c r="H397" s="388">
        <v>72500</v>
      </c>
    </row>
    <row r="398" spans="1:8" ht="60" x14ac:dyDescent="0.25">
      <c r="A398" s="363">
        <v>44950</v>
      </c>
      <c r="B398" s="397" t="s">
        <v>4084</v>
      </c>
      <c r="C398" s="398" t="s">
        <v>4210</v>
      </c>
      <c r="D398" s="403" t="s">
        <v>4100</v>
      </c>
      <c r="E398" s="395" t="s">
        <v>18</v>
      </c>
      <c r="F398" s="401" t="s">
        <v>4078</v>
      </c>
      <c r="G398" s="403" t="s">
        <v>1443</v>
      </c>
      <c r="H398" s="388">
        <v>72500</v>
      </c>
    </row>
    <row r="399" spans="1:8" ht="60" x14ac:dyDescent="0.25">
      <c r="A399" s="363">
        <v>44950</v>
      </c>
      <c r="B399" s="397" t="s">
        <v>4084</v>
      </c>
      <c r="C399" s="398" t="s">
        <v>4211</v>
      </c>
      <c r="D399" s="403" t="s">
        <v>4101</v>
      </c>
      <c r="E399" s="395" t="s">
        <v>18</v>
      </c>
      <c r="F399" s="403" t="s">
        <v>4081</v>
      </c>
      <c r="G399" s="403" t="s">
        <v>1443</v>
      </c>
      <c r="H399" s="388">
        <v>98000.18</v>
      </c>
    </row>
    <row r="400" spans="1:8" ht="75" x14ac:dyDescent="0.25">
      <c r="A400" s="363">
        <v>44950</v>
      </c>
      <c r="B400" s="397" t="s">
        <v>4084</v>
      </c>
      <c r="C400" s="398" t="s">
        <v>4213</v>
      </c>
      <c r="D400" s="403" t="s">
        <v>4101</v>
      </c>
      <c r="E400" s="395" t="s">
        <v>18</v>
      </c>
      <c r="F400" s="403" t="s">
        <v>4077</v>
      </c>
      <c r="G400" s="407" t="s">
        <v>4079</v>
      </c>
      <c r="H400" s="388">
        <v>98000.19</v>
      </c>
    </row>
    <row r="401" spans="1:8" ht="60" x14ac:dyDescent="0.25">
      <c r="A401" s="394">
        <v>44963</v>
      </c>
      <c r="B401" s="367" t="s">
        <v>4214</v>
      </c>
      <c r="C401" s="367" t="s">
        <v>4215</v>
      </c>
      <c r="D401" s="403" t="s">
        <v>4220</v>
      </c>
      <c r="E401" s="400" t="s">
        <v>4221</v>
      </c>
      <c r="F401" s="403" t="s">
        <v>4226</v>
      </c>
      <c r="G401" s="401" t="s">
        <v>19</v>
      </c>
      <c r="H401" s="388">
        <v>1595943</v>
      </c>
    </row>
    <row r="402" spans="1:8" ht="60" x14ac:dyDescent="0.25">
      <c r="A402" s="394">
        <v>44963</v>
      </c>
      <c r="B402" s="367" t="s">
        <v>4214</v>
      </c>
      <c r="C402" s="367" t="s">
        <v>4216</v>
      </c>
      <c r="D402" s="403" t="s">
        <v>4220</v>
      </c>
      <c r="E402" s="400" t="s">
        <v>4222</v>
      </c>
      <c r="F402" s="403" t="s">
        <v>4226</v>
      </c>
      <c r="G402" s="401" t="s">
        <v>19</v>
      </c>
      <c r="H402" s="388">
        <v>1595943</v>
      </c>
    </row>
    <row r="403" spans="1:8" ht="60" x14ac:dyDescent="0.25">
      <c r="A403" s="394">
        <v>44963</v>
      </c>
      <c r="B403" s="367" t="s">
        <v>4214</v>
      </c>
      <c r="C403" s="367" t="s">
        <v>4217</v>
      </c>
      <c r="D403" s="403" t="s">
        <v>4220</v>
      </c>
      <c r="E403" s="400" t="s">
        <v>4223</v>
      </c>
      <c r="F403" s="403" t="s">
        <v>4226</v>
      </c>
      <c r="G403" s="401" t="s">
        <v>19</v>
      </c>
      <c r="H403" s="388">
        <v>1595943</v>
      </c>
    </row>
    <row r="404" spans="1:8" ht="60" x14ac:dyDescent="0.25">
      <c r="A404" s="394">
        <v>44963</v>
      </c>
      <c r="B404" s="367" t="s">
        <v>4214</v>
      </c>
      <c r="C404" s="367" t="s">
        <v>4218</v>
      </c>
      <c r="D404" s="403" t="s">
        <v>4220</v>
      </c>
      <c r="E404" s="400" t="s">
        <v>4224</v>
      </c>
      <c r="F404" s="403" t="s">
        <v>4226</v>
      </c>
      <c r="G404" s="401" t="s">
        <v>19</v>
      </c>
      <c r="H404" s="388">
        <v>1595943</v>
      </c>
    </row>
    <row r="405" spans="1:8" ht="60" x14ac:dyDescent="0.25">
      <c r="A405" s="394">
        <v>44963</v>
      </c>
      <c r="B405" s="367" t="s">
        <v>4214</v>
      </c>
      <c r="C405" s="367" t="s">
        <v>4219</v>
      </c>
      <c r="D405" s="403" t="s">
        <v>4220</v>
      </c>
      <c r="E405" s="400" t="s">
        <v>4225</v>
      </c>
      <c r="F405" s="403" t="s">
        <v>4226</v>
      </c>
      <c r="G405" s="401" t="s">
        <v>19</v>
      </c>
      <c r="H405" s="388">
        <v>1595942.99</v>
      </c>
    </row>
  </sheetData>
  <pageMargins left="0.7" right="0.7" top="0.75" bottom="0.75" header="0.3" footer="0.3"/>
  <pageSetup paperSize="9" scale="70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CBD5CA4274534AB69E081E7339E331" ma:contentTypeVersion="4" ma:contentTypeDescription="Crear nuevo documento." ma:contentTypeScope="" ma:versionID="e7388f19d8b35506a364d36f5a935732">
  <xsd:schema xmlns:xsd="http://www.w3.org/2001/XMLSchema" xmlns:xs="http://www.w3.org/2001/XMLSchema" xmlns:p="http://schemas.microsoft.com/office/2006/metadata/properties" xmlns:ns3="086e94e8-b7d6-4177-a610-fd6012d4e757" targetNamespace="http://schemas.microsoft.com/office/2006/metadata/properties" ma:root="true" ma:fieldsID="cffa99444352c5c77f8a3a5cd311549d" ns3:_="">
    <xsd:import namespace="086e94e8-b7d6-4177-a610-fd6012d4e7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e94e8-b7d6-4177-a610-fd6012d4e7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A9AF41-F070-44ED-85FA-EE1DCC1BA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6e94e8-b7d6-4177-a610-fd6012d4e7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46E350-3C5F-41B8-9A91-9CB32BA2F01F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086e94e8-b7d6-4177-a610-fd6012d4e757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1FB752F-2BC8-49A7-980E-6415151838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16</vt:i4>
      </vt:variant>
    </vt:vector>
  </HeadingPairs>
  <TitlesOfParts>
    <vt:vector size="23" baseType="lpstr">
      <vt:lpstr>FONDO MUNDIAL</vt:lpstr>
      <vt:lpstr>PROYECTO - CDC</vt:lpstr>
      <vt:lpstr>SUBVENCION</vt:lpstr>
      <vt:lpstr>DONACION</vt:lpstr>
      <vt:lpstr>CONTRAPARTIDA</vt:lpstr>
      <vt:lpstr>COVID</vt:lpstr>
      <vt:lpstr>Hoja2</vt:lpstr>
      <vt:lpstr>CONTRAPARTIDA!Área_de_impresión</vt:lpstr>
      <vt:lpstr>COVID!Área_de_impresión</vt:lpstr>
      <vt:lpstr>DONACION!Área_de_impresión</vt:lpstr>
      <vt:lpstr>'FONDO MUNDIAL'!Área_de_impresión</vt:lpstr>
      <vt:lpstr>'PROYECTO - CDC'!Área_de_impresión</vt:lpstr>
      <vt:lpstr>SUBVENCION!Área_de_impresión</vt:lpstr>
      <vt:lpstr>CONTRAPARTIDA!Print_Area</vt:lpstr>
      <vt:lpstr>DONACION!Print_Area</vt:lpstr>
      <vt:lpstr>'FONDO MUNDIAL'!Print_Area</vt:lpstr>
      <vt:lpstr>'PROYECTO - CDC'!Print_Area</vt:lpstr>
      <vt:lpstr>SUBVENCION!Print_Area</vt:lpstr>
      <vt:lpstr>CONTRAPARTIDA!Print_Titles</vt:lpstr>
      <vt:lpstr>DONACION!Print_Titles</vt:lpstr>
      <vt:lpstr>'FONDO MUNDIAL'!Print_Titles</vt:lpstr>
      <vt:lpstr>'PROYECTO - CDC'!Print_Titles</vt:lpstr>
      <vt:lpstr>SUBVENCION!Print_Titles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 1501</dc:creator>
  <cp:lastModifiedBy>Samuel Elias Hernandez Arias</cp:lastModifiedBy>
  <cp:lastPrinted>2025-07-10T17:22:55Z</cp:lastPrinted>
  <dcterms:created xsi:type="dcterms:W3CDTF">2007-02-21T19:42:44Z</dcterms:created>
  <dcterms:modified xsi:type="dcterms:W3CDTF">2025-07-10T17:27:15Z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848B2FF0A51542CC83214A6DA4319EFE</vt:lpwstr>
  </property>
  <property fmtid="{D5CDD505-2E9C-101B-9397-08002B2CF9AE}" pid="3" name="KSOProductBuildVer">
    <vt:lpwstr>3082-11.2.0.11513</vt:lpwstr>
  </property>
  <property fmtid="{D5CDD505-2E9C-101B-9397-08002B2CF9AE}" pid="4" name="ContentTypeId">
    <vt:lpwstr>0x0101006DCBD5CA4274534AB69E081E7339E331</vt:lpwstr>
  </property>
</Properties>
</file>